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yggherrarna\1000 Medlemsservice\Kommunikation\Nya webben BeBo\PROJEKT\Teknikprojekt A-Ö\HÅLLBARA ENERGISYSTEMLÖSNINGAR INOM SOLENERGIOMRÅDET\pdf\"/>
    </mc:Choice>
  </mc:AlternateContent>
  <bookViews>
    <workbookView xWindow="0" yWindow="0" windowWidth="28800" windowHeight="12435"/>
  </bookViews>
  <sheets>
    <sheet name="Indata och utdata" sheetId="1" r:id="rId1"/>
    <sheet name="Säsongsvariationer" sheetId="2" state="hidden" r:id="rId2"/>
    <sheet name="Ekonomi" sheetId="5" state="hidden" r:id="rId3"/>
    <sheet name="Komponentparametrar" sheetId="4" state="hidden" r:id="rId4"/>
    <sheet name="Vinklar" sheetId="3" state="hidden" r:id="rId5"/>
    <sheet name="Ytprioritering" sheetId="6" state="hidden" r:id="rId6"/>
    <sheet name="Inställningar" sheetId="8" r:id="rId7"/>
    <sheet name="Förklaringar" sheetId="7" r:id="rId8"/>
  </sheets>
  <calcPr calcId="152511"/>
</workbook>
</file>

<file path=xl/calcChain.xml><?xml version="1.0" encoding="utf-8"?>
<calcChain xmlns="http://schemas.openxmlformats.org/spreadsheetml/2006/main">
  <c r="P7" i="3" l="1"/>
  <c r="G13" i="3" s="1"/>
  <c r="Q7" i="3"/>
  <c r="H8" i="3" s="1"/>
  <c r="I8" i="3"/>
  <c r="H4" i="3"/>
  <c r="H12" i="3" s="1"/>
  <c r="I4" i="3"/>
  <c r="I12" i="3" s="1"/>
  <c r="I9" i="3"/>
  <c r="I14" i="3" s="1"/>
  <c r="P8" i="3"/>
  <c r="G26" i="3"/>
  <c r="G27" i="3"/>
  <c r="Q8" i="3"/>
  <c r="H17" i="3" s="1"/>
  <c r="H25" i="3" s="1"/>
  <c r="I17" i="3"/>
  <c r="I25" i="3" s="1"/>
  <c r="H23" i="3"/>
  <c r="I23" i="3"/>
  <c r="P9" i="3"/>
  <c r="Q9" i="3"/>
  <c r="H36" i="3"/>
  <c r="H30" i="3"/>
  <c r="H38" i="3" s="1"/>
  <c r="P10" i="3"/>
  <c r="G52" i="3" s="1"/>
  <c r="G53" i="3"/>
  <c r="Q10" i="3"/>
  <c r="H43" i="3" s="1"/>
  <c r="H51" i="3" s="1"/>
  <c r="I43" i="3"/>
  <c r="I51" i="3" s="1"/>
  <c r="H46" i="3"/>
  <c r="H52" i="3" s="1"/>
  <c r="H47" i="3"/>
  <c r="H53" i="3" s="1"/>
  <c r="P11" i="3"/>
  <c r="R11" i="3" s="1"/>
  <c r="I22" i="1" s="1"/>
  <c r="F20" i="1"/>
  <c r="F19" i="1"/>
  <c r="F18" i="1"/>
  <c r="C25" i="1" s="1"/>
  <c r="F22" i="1"/>
  <c r="F21" i="1"/>
  <c r="F5" i="4"/>
  <c r="F4" i="4"/>
  <c r="H6" i="3"/>
  <c r="H10" i="3"/>
  <c r="I6" i="3"/>
  <c r="I10" i="3"/>
  <c r="H7" i="3"/>
  <c r="I7" i="3"/>
  <c r="H18" i="3"/>
  <c r="H20" i="3"/>
  <c r="H26" i="3" s="1"/>
  <c r="I18" i="3"/>
  <c r="I20" i="3"/>
  <c r="H19" i="3"/>
  <c r="H21" i="3"/>
  <c r="H27" i="3" s="1"/>
  <c r="I19" i="3"/>
  <c r="I21" i="3"/>
  <c r="I27" i="3" s="1"/>
  <c r="H32" i="3"/>
  <c r="I31" i="3"/>
  <c r="H34" i="3"/>
  <c r="I34" i="3"/>
  <c r="H45" i="3"/>
  <c r="H44" i="3"/>
  <c r="H49" i="3"/>
  <c r="I45" i="3"/>
  <c r="I44" i="3"/>
  <c r="I49" i="3"/>
  <c r="H48" i="3"/>
  <c r="I48" i="3"/>
  <c r="G66" i="3"/>
  <c r="Q11" i="3"/>
  <c r="H59" i="3" s="1"/>
  <c r="H62" i="3"/>
  <c r="I59" i="3"/>
  <c r="H56" i="3"/>
  <c r="H64" i="3" s="1"/>
  <c r="H58" i="3"/>
  <c r="H66" i="3" s="1"/>
  <c r="I60" i="3"/>
  <c r="E3" i="2"/>
  <c r="E4" i="2"/>
  <c r="E5" i="2"/>
  <c r="E6" i="2"/>
  <c r="E7" i="2"/>
  <c r="E8" i="2"/>
  <c r="E9" i="2"/>
  <c r="E10" i="2"/>
  <c r="E11" i="2"/>
  <c r="E12" i="2"/>
  <c r="E13" i="2"/>
  <c r="E14" i="2"/>
  <c r="F3" i="4"/>
  <c r="E8" i="5"/>
  <c r="C4" i="4"/>
  <c r="C3" i="4"/>
  <c r="X23" i="2"/>
  <c r="X24" i="2"/>
  <c r="X25" i="2"/>
  <c r="X26" i="2"/>
  <c r="X27" i="2"/>
  <c r="X28" i="2"/>
  <c r="X29" i="2"/>
  <c r="X30" i="2"/>
  <c r="X31" i="2"/>
  <c r="X32" i="2"/>
  <c r="X33" i="2"/>
  <c r="X22" i="2"/>
  <c r="C4" i="2"/>
  <c r="C5" i="2"/>
  <c r="C6" i="2"/>
  <c r="C7" i="2"/>
  <c r="C8" i="2"/>
  <c r="C9" i="2"/>
  <c r="C10" i="2"/>
  <c r="C11" i="2"/>
  <c r="C12" i="2"/>
  <c r="C13" i="2"/>
  <c r="C14" i="2"/>
  <c r="C3" i="2"/>
  <c r="G10" i="6"/>
  <c r="E5" i="5"/>
  <c r="Y15" i="2"/>
  <c r="R7" i="2" s="1"/>
  <c r="I22" i="3"/>
  <c r="N14" i="2"/>
  <c r="N13" i="2"/>
  <c r="J13" i="2" s="1"/>
  <c r="D13" i="2" s="1"/>
  <c r="N12" i="2"/>
  <c r="N11" i="2"/>
  <c r="N10" i="2"/>
  <c r="N9" i="2"/>
  <c r="J9" i="2" s="1"/>
  <c r="D9" i="2" s="1"/>
  <c r="N8" i="2"/>
  <c r="N7" i="2"/>
  <c r="N6" i="2"/>
  <c r="N5" i="2"/>
  <c r="J8" i="2" s="1"/>
  <c r="D8" i="2" s="1"/>
  <c r="G8" i="2" s="1"/>
  <c r="N4" i="2"/>
  <c r="N3" i="2"/>
  <c r="R14" i="2"/>
  <c r="R13" i="2"/>
  <c r="R9" i="2"/>
  <c r="P25" i="2" s="1"/>
  <c r="H5" i="3"/>
  <c r="I61" i="3"/>
  <c r="H61" i="3"/>
  <c r="H22" i="3"/>
  <c r="I5" i="3"/>
  <c r="J3" i="2"/>
  <c r="D3" i="2" s="1"/>
  <c r="G3" i="2" s="1"/>
  <c r="J14" i="2" l="1"/>
  <c r="D14" i="2" s="1"/>
  <c r="G14" i="2" s="1"/>
  <c r="D25" i="1"/>
  <c r="H60" i="3"/>
  <c r="I62" i="3"/>
  <c r="H57" i="3"/>
  <c r="H65" i="3" s="1"/>
  <c r="G65" i="3"/>
  <c r="F8" i="4"/>
  <c r="I46" i="3"/>
  <c r="H9" i="3"/>
  <c r="H14" i="3" s="1"/>
  <c r="J12" i="2"/>
  <c r="D12" i="2" s="1"/>
  <c r="G12" i="2" s="1"/>
  <c r="J7" i="2"/>
  <c r="D7" i="2" s="1"/>
  <c r="I58" i="3"/>
  <c r="I66" i="3" s="1"/>
  <c r="I56" i="3"/>
  <c r="I64" i="3" s="1"/>
  <c r="J65" i="3" s="1"/>
  <c r="I57" i="3"/>
  <c r="I65" i="3" s="1"/>
  <c r="I47" i="3"/>
  <c r="I53" i="3" s="1"/>
  <c r="J53" i="3" s="1"/>
  <c r="J4" i="2"/>
  <c r="D4" i="2" s="1"/>
  <c r="G4" i="2" s="1"/>
  <c r="X35" i="2"/>
  <c r="Z30" i="2" s="1"/>
  <c r="Z22" i="2"/>
  <c r="Z26" i="2"/>
  <c r="Z25" i="2"/>
  <c r="G7" i="2"/>
  <c r="R3" i="2"/>
  <c r="R10" i="2"/>
  <c r="R4" i="2"/>
  <c r="R5" i="2"/>
  <c r="R6" i="2"/>
  <c r="R8" i="2"/>
  <c r="G10" i="2"/>
  <c r="R12" i="2"/>
  <c r="J5" i="2"/>
  <c r="D5" i="2" s="1"/>
  <c r="G5" i="2" s="1"/>
  <c r="J11" i="2"/>
  <c r="D11" i="2" s="1"/>
  <c r="G11" i="2" s="1"/>
  <c r="J6" i="2"/>
  <c r="D6" i="2" s="1"/>
  <c r="G6" i="2" s="1"/>
  <c r="R11" i="2"/>
  <c r="J10" i="2"/>
  <c r="D10" i="2" s="1"/>
  <c r="G22" i="1"/>
  <c r="G40" i="3"/>
  <c r="G39" i="3"/>
  <c r="H39" i="3"/>
  <c r="H40" i="3"/>
  <c r="J27" i="3"/>
  <c r="I26" i="3"/>
  <c r="J26" i="3" s="1"/>
  <c r="H22" i="1"/>
  <c r="G13" i="2"/>
  <c r="G9" i="2"/>
  <c r="I52" i="3"/>
  <c r="J52" i="3" s="1"/>
  <c r="I36" i="3"/>
  <c r="I40" i="3" s="1"/>
  <c r="I30" i="3"/>
  <c r="I38" i="3" s="1"/>
  <c r="H33" i="3"/>
  <c r="I32" i="3"/>
  <c r="I35" i="3"/>
  <c r="H31" i="3"/>
  <c r="I33" i="3"/>
  <c r="H35" i="3"/>
  <c r="J14" i="3"/>
  <c r="I13" i="3"/>
  <c r="G14" i="3"/>
  <c r="H13" i="3"/>
  <c r="J13" i="3" s="1"/>
  <c r="R8" i="3" l="1"/>
  <c r="H19" i="1" s="1"/>
  <c r="Z28" i="2"/>
  <c r="Z27" i="2"/>
  <c r="Z33" i="2"/>
  <c r="R10" i="3"/>
  <c r="G21" i="1" s="1"/>
  <c r="J66" i="3"/>
  <c r="Z29" i="2"/>
  <c r="Z32" i="2"/>
  <c r="Z24" i="2"/>
  <c r="Z35" i="2" s="1"/>
  <c r="R7" i="3"/>
  <c r="I18" i="1" s="1"/>
  <c r="Z31" i="2"/>
  <c r="Z23" i="2"/>
  <c r="G18" i="1"/>
  <c r="H18" i="1"/>
  <c r="I19" i="1"/>
  <c r="G19" i="1"/>
  <c r="I39" i="3"/>
  <c r="S20" i="2"/>
  <c r="R16" i="2"/>
  <c r="S28" i="2" s="1"/>
  <c r="J39" i="3"/>
  <c r="R9" i="3" s="1"/>
  <c r="J40" i="3"/>
  <c r="S21" i="2" l="1"/>
  <c r="I21" i="1"/>
  <c r="H21" i="1"/>
  <c r="I20" i="1"/>
  <c r="E20" i="1" s="1"/>
  <c r="G20" i="1"/>
  <c r="H20" i="1"/>
  <c r="E19" i="1"/>
  <c r="D26" i="1"/>
  <c r="S25" i="2"/>
  <c r="S23" i="2"/>
  <c r="S30" i="2"/>
  <c r="S29" i="2"/>
  <c r="S26" i="2"/>
  <c r="S24" i="2"/>
  <c r="S27" i="2"/>
  <c r="S19" i="2"/>
  <c r="C26" i="1"/>
  <c r="S22" i="2"/>
  <c r="E18" i="1"/>
  <c r="E22" i="1"/>
  <c r="U9" i="2" l="1"/>
  <c r="U7" i="2"/>
  <c r="U5" i="2"/>
  <c r="D27" i="1"/>
  <c r="D28" i="1" s="1"/>
  <c r="U12" i="2"/>
  <c r="U8" i="2"/>
  <c r="U11" i="2"/>
  <c r="U4" i="2"/>
  <c r="U6" i="2"/>
  <c r="U13" i="2"/>
  <c r="U3" i="2"/>
  <c r="U14" i="2"/>
  <c r="U10" i="2"/>
  <c r="T9" i="2"/>
  <c r="T11" i="2"/>
  <c r="T10" i="2"/>
  <c r="C27" i="1"/>
  <c r="C28" i="1" s="1"/>
  <c r="T14" i="2"/>
  <c r="T4" i="2"/>
  <c r="T5" i="2"/>
  <c r="T8" i="2"/>
  <c r="T12" i="2"/>
  <c r="T6" i="2"/>
  <c r="T3" i="2"/>
  <c r="T13" i="2"/>
  <c r="T7" i="2"/>
  <c r="Q20" i="2"/>
  <c r="E21" i="1"/>
  <c r="F6" i="6" s="1"/>
  <c r="I5" i="6" s="1"/>
  <c r="B10" i="6"/>
  <c r="B9" i="6"/>
  <c r="B8" i="6"/>
  <c r="B7" i="6" l="1"/>
  <c r="E6" i="6"/>
  <c r="H5" i="6" s="1"/>
  <c r="D6" i="6"/>
  <c r="G5" i="6" s="1"/>
  <c r="B6" i="6"/>
  <c r="AC7" i="2"/>
  <c r="AC9" i="2"/>
  <c r="AC14" i="2"/>
  <c r="AC13" i="2"/>
  <c r="AC4" i="2"/>
  <c r="AC12" i="2"/>
  <c r="AC3" i="2"/>
  <c r="AC5" i="2"/>
  <c r="AC10" i="2"/>
  <c r="AC6" i="2"/>
  <c r="AC11" i="2"/>
  <c r="AC8" i="2"/>
  <c r="AB13" i="2"/>
  <c r="AB14" i="2"/>
  <c r="AB9" i="2"/>
  <c r="AB7" i="2"/>
  <c r="AB10" i="2"/>
  <c r="AB11" i="2"/>
  <c r="AB8" i="2"/>
  <c r="AB6" i="2"/>
  <c r="AB5" i="2"/>
  <c r="AB4" i="2"/>
  <c r="AB12" i="2"/>
  <c r="AB3" i="2"/>
  <c r="F7" i="6"/>
  <c r="C39" i="1" l="1"/>
  <c r="D7" i="6"/>
  <c r="G6" i="6" s="1"/>
  <c r="E7" i="6"/>
  <c r="I6" i="6"/>
  <c r="F8" i="6"/>
  <c r="AD5" i="2"/>
  <c r="AG5" i="2"/>
  <c r="AD10" i="2"/>
  <c r="AG10" i="2" s="1"/>
  <c r="AE10" i="2"/>
  <c r="AF10" i="2" s="1"/>
  <c r="AH10" i="2" s="1"/>
  <c r="AE4" i="2"/>
  <c r="AF4" i="2" s="1"/>
  <c r="AF7" i="2"/>
  <c r="AH7" i="2" s="1"/>
  <c r="AE7" i="2"/>
  <c r="AD3" i="2"/>
  <c r="AG6" i="2"/>
  <c r="AD6" i="2"/>
  <c r="AD7" i="2"/>
  <c r="AG7" i="2" s="1"/>
  <c r="AE8" i="2"/>
  <c r="AE5" i="2"/>
  <c r="AF5" i="2" s="1"/>
  <c r="AE13" i="2"/>
  <c r="AF13" i="2"/>
  <c r="AH13" i="2"/>
  <c r="H6" i="6"/>
  <c r="E8" i="6"/>
  <c r="AD12" i="2"/>
  <c r="AG12" i="2" s="1"/>
  <c r="AD8" i="2"/>
  <c r="AG8" i="2" s="1"/>
  <c r="AD9" i="2"/>
  <c r="AG9" i="2"/>
  <c r="AF11" i="2"/>
  <c r="AE11" i="2"/>
  <c r="AH11" i="2" s="1"/>
  <c r="AE3" i="2"/>
  <c r="AE14" i="2"/>
  <c r="AD4" i="2"/>
  <c r="AG4" i="2" s="1"/>
  <c r="AD11" i="2"/>
  <c r="AG11" i="2" s="1"/>
  <c r="AD14" i="2"/>
  <c r="AG14" i="2" s="1"/>
  <c r="AE6" i="2"/>
  <c r="AF6" i="2" s="1"/>
  <c r="AH6" i="2" s="1"/>
  <c r="AE12" i="2"/>
  <c r="AF12" i="2"/>
  <c r="AE9" i="2"/>
  <c r="AF9" i="2" s="1"/>
  <c r="AH9" i="2" s="1"/>
  <c r="AD13" i="2"/>
  <c r="AG13" i="2" s="1"/>
  <c r="D8" i="6" l="1"/>
  <c r="AH12" i="2"/>
  <c r="AH5" i="2"/>
  <c r="AF3" i="2"/>
  <c r="AH3" i="2" s="1"/>
  <c r="C34" i="1" s="1"/>
  <c r="I7" i="6"/>
  <c r="F9" i="6"/>
  <c r="AF14" i="2"/>
  <c r="AH14" i="2" s="1"/>
  <c r="H7" i="6"/>
  <c r="E9" i="6"/>
  <c r="AF8" i="2"/>
  <c r="AH8" i="2" s="1"/>
  <c r="C33" i="1" s="1"/>
  <c r="D32" i="1"/>
  <c r="AF24" i="2"/>
  <c r="AH4" i="2"/>
  <c r="C31" i="1"/>
  <c r="D31" i="1"/>
  <c r="G7" i="6"/>
  <c r="D9" i="6"/>
  <c r="D33" i="1"/>
  <c r="C32" i="1"/>
  <c r="AG3" i="2"/>
  <c r="C35" i="1" l="1"/>
  <c r="G8" i="6"/>
  <c r="D10" i="6"/>
  <c r="G9" i="6" s="1"/>
  <c r="H8" i="6"/>
  <c r="E10" i="6"/>
  <c r="H9" i="6" s="1"/>
  <c r="D34" i="1"/>
  <c r="D35" i="1" s="1"/>
  <c r="AF22" i="2"/>
  <c r="AF26" i="2"/>
  <c r="I8" i="6"/>
  <c r="F10" i="6"/>
  <c r="I9" i="6" s="1"/>
  <c r="D21" i="6" l="1"/>
  <c r="E22" i="6"/>
  <c r="D22" i="6"/>
  <c r="E18" i="6"/>
  <c r="D18" i="6"/>
  <c r="E21" i="6"/>
  <c r="E17" i="6"/>
  <c r="C29" i="1"/>
  <c r="C30" i="1" s="1"/>
  <c r="C36" i="1" s="1"/>
  <c r="D17" i="6"/>
  <c r="D29" i="1" l="1"/>
  <c r="D30" i="1" s="1"/>
  <c r="C38" i="1"/>
  <c r="C37" i="1"/>
  <c r="D38" i="1" l="1"/>
  <c r="D37" i="1"/>
  <c r="D36" i="1"/>
</calcChain>
</file>

<file path=xl/sharedStrings.xml><?xml version="1.0" encoding="utf-8"?>
<sst xmlns="http://schemas.openxmlformats.org/spreadsheetml/2006/main" count="160" uniqueCount="118">
  <si>
    <t>Uppvärmning</t>
  </si>
  <si>
    <t>Mars</t>
  </si>
  <si>
    <t>April</t>
  </si>
  <si>
    <t>Maj</t>
  </si>
  <si>
    <t>Juni</t>
  </si>
  <si>
    <t>Juli</t>
  </si>
  <si>
    <t>Månadsmedeltemperaturer(Säve)</t>
  </si>
  <si>
    <t>Välj</t>
  </si>
  <si>
    <t xml:space="preserve"> </t>
  </si>
  <si>
    <t xml:space="preserve">   </t>
  </si>
  <si>
    <t>Byggnadens energibehov</t>
  </si>
  <si>
    <t>Jan</t>
  </si>
  <si>
    <t>Feb</t>
  </si>
  <si>
    <t>Aug</t>
  </si>
  <si>
    <t>Sep</t>
  </si>
  <si>
    <t>Okt</t>
  </si>
  <si>
    <t>Nov</t>
  </si>
  <si>
    <t>Dec</t>
  </si>
  <si>
    <t>Möjlighet att sälja överskottsel</t>
  </si>
  <si>
    <t>Nej</t>
  </si>
  <si>
    <t>Solfångare</t>
  </si>
  <si>
    <t>Pris [kr/m2]</t>
  </si>
  <si>
    <t>Energiutbyte [kWh/m2]</t>
  </si>
  <si>
    <t>Solcellsmoduler</t>
  </si>
  <si>
    <t>Pris [kr/W]</t>
  </si>
  <si>
    <t>Energiutbyte [kWh/W]</t>
  </si>
  <si>
    <t>Effekt [W/m2]</t>
  </si>
  <si>
    <t>Livslängd</t>
  </si>
  <si>
    <t>Tillgänglig area [m2]</t>
  </si>
  <si>
    <t>Investeringskostnad [kr]</t>
  </si>
  <si>
    <t>lutning</t>
  </si>
  <si>
    <t>orientering</t>
  </si>
  <si>
    <t>Resultat:</t>
  </si>
  <si>
    <t>Orientering</t>
  </si>
  <si>
    <t>Lutning</t>
  </si>
  <si>
    <r>
      <t>Area [m</t>
    </r>
    <r>
      <rPr>
        <vertAlign val="superscript"/>
        <sz val="11"/>
        <color rgb="FF3F3F76"/>
        <rFont val="Calibri"/>
        <family val="2"/>
        <scheme val="minor"/>
      </rPr>
      <t>2</t>
    </r>
    <r>
      <rPr>
        <sz val="11"/>
        <color rgb="FF3F3F76"/>
        <rFont val="Calibri"/>
        <family val="2"/>
        <scheme val="minor"/>
      </rPr>
      <t>]</t>
    </r>
  </si>
  <si>
    <t>Tillgängliga ytor</t>
  </si>
  <si>
    <t>Solfångare ger värme</t>
  </si>
  <si>
    <t>Solceller ger el</t>
  </si>
  <si>
    <t>Solinstrålning</t>
  </si>
  <si>
    <t>Maxsolel</t>
  </si>
  <si>
    <t>Maxsolvärme</t>
  </si>
  <si>
    <t>Elpris (köp) [kr/kWh]</t>
  </si>
  <si>
    <t>Elpris (sälj) [kr/kWh]</t>
  </si>
  <si>
    <t>Plattakskorrigerad area</t>
  </si>
  <si>
    <t>Lönsamhet, internränta</t>
  </si>
  <si>
    <t>Årligt underhåll i förhållande till investeringskostnaden</t>
  </si>
  <si>
    <t>Möjlighet att sälja överskottsvärme</t>
  </si>
  <si>
    <t>Värmepris (köp) [kr/kWh]</t>
  </si>
  <si>
    <t>Värmepris (sälj) [kr/kWh]</t>
  </si>
  <si>
    <t xml:space="preserve">Välj </t>
  </si>
  <si>
    <t>Tillgänglig energiproduktion [MWh/år]</t>
  </si>
  <si>
    <t>Önskad energiproduktion [MWh/år]</t>
  </si>
  <si>
    <t>Annuitetsfaktor</t>
  </si>
  <si>
    <t>Kalkylränta</t>
  </si>
  <si>
    <t>Lönsamhet, besparingskostnad [kr/kWh]</t>
  </si>
  <si>
    <t>Verkningsgrad</t>
  </si>
  <si>
    <t>Hur mycket ytor finns?</t>
  </si>
  <si>
    <t>Vad skulle energiproduktionen bli om man fyllde dessa ytor med solceller resp solfångare?</t>
  </si>
  <si>
    <t>Hur mycket energi är önskvärt att producera?</t>
  </si>
  <si>
    <t>Hur stor är den minsta produktionen av tillgänglig och önskad?</t>
  </si>
  <si>
    <t>Hur stor area krävs för att producera det?</t>
  </si>
  <si>
    <t>Vad kostar det?</t>
  </si>
  <si>
    <t>Area</t>
  </si>
  <si>
    <t>Värme</t>
  </si>
  <si>
    <t>El</t>
  </si>
  <si>
    <t>Interpolera mellan dessa för att hitta rätt yta för solceller</t>
  </si>
  <si>
    <t>Interpolera mellan dessa för att hitta rätt yta för solfångare</t>
  </si>
  <si>
    <t>Real årlig elprisförändring</t>
  </si>
  <si>
    <t>Real årlig värmeprisförändring</t>
  </si>
  <si>
    <t>Tappvarmvatten [MWh/år]</t>
  </si>
  <si>
    <t>Uppvärmning [MWh/år]</t>
  </si>
  <si>
    <t>Fastighetsel [MWh/år]</t>
  </si>
  <si>
    <t>Produktion</t>
  </si>
  <si>
    <t>Varav används</t>
  </si>
  <si>
    <t>Varav säljs</t>
  </si>
  <si>
    <t>Värme tvv</t>
  </si>
  <si>
    <t>Värme upp</t>
  </si>
  <si>
    <t>Ja</t>
  </si>
  <si>
    <t>Ja, men inte bli nettoproducent</t>
  </si>
  <si>
    <t>Besparing sommar</t>
  </si>
  <si>
    <t>Besparing vinter</t>
  </si>
  <si>
    <t>Intäkt sommar</t>
  </si>
  <si>
    <t>Intäkt vinter</t>
  </si>
  <si>
    <t>Vinter</t>
  </si>
  <si>
    <t>Sommar</t>
  </si>
  <si>
    <t>Energihandelsvilllkor</t>
  </si>
  <si>
    <t>Beslutsguide för fastighetsägare som är intresserade av solenergi</t>
  </si>
  <si>
    <t>Nettoproducentskostnad</t>
  </si>
  <si>
    <t>kr/år</t>
  </si>
  <si>
    <t>Total såld el</t>
  </si>
  <si>
    <t>Total köpt el</t>
  </si>
  <si>
    <t>Netto köpt</t>
  </si>
  <si>
    <t>Energiutbyte [MWh/år]</t>
  </si>
  <si>
    <t>Solvärme</t>
  </si>
  <si>
    <t>Solel</t>
  </si>
  <si>
    <t>Besparing (inkl. intäkter) [kr/år]</t>
  </si>
  <si>
    <t>Fastighetselbehovet</t>
  </si>
  <si>
    <t>Byggnadens totala värmebehov</t>
  </si>
  <si>
    <t>Tappvarmvattenbehovet</t>
  </si>
  <si>
    <t>Dummies (värme)</t>
  </si>
  <si>
    <t>F-chart: R=0,L=45</t>
  </si>
  <si>
    <t>V:a kolumnen dimensionerar solfångarna</t>
  </si>
  <si>
    <t>H:a kolumnen beräknar täckningsgraden</t>
  </si>
  <si>
    <t>Energipriser [exkl. moms]</t>
  </si>
  <si>
    <t>Lönsamhet, pay-offtid [år]</t>
  </si>
  <si>
    <t>Kostnad för att vara nettoelproducent [kr/år]:</t>
  </si>
  <si>
    <t>Pris, solceller [kr/W]</t>
  </si>
  <si>
    <r>
      <t>Pris, solfångare [kr/m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</si>
  <si>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r>
      <t>Specifik effekt, solceller [W/m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</si>
  <si>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Energiutbyte, solceller [kWh/W år]</t>
  </si>
  <si>
    <r>
      <t>Årligt energiutbyte, solfångare [kWh/m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år]</t>
    </r>
  </si>
  <si>
    <r>
      <t>Area [m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]</t>
    </r>
  </si>
  <si>
    <r>
      <t>Orientering [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] (Syd = 0°, öst/väst = 90°)</t>
    </r>
  </si>
  <si>
    <r>
      <t>Lutning [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] (Platt tak = 0°, fasad = 90°)</t>
    </r>
  </si>
  <si>
    <t>Ta bort bladets skydd med lösenordet "bebo" för att ändra kostnader och prestanda</t>
  </si>
  <si>
    <t xml:space="preserve">© Peter Filipsson, CIT Energy Management AB. </t>
  </si>
  <si>
    <t>Beslutsguiden är framtagen inom Bebo-projektet HES - Hållbara Energisystemlösningar inom Solenergiområdet.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</si>
</sst>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\ _k_r_-;\-* #,##0\ _k_r_-;_-* &quot;-&quot;??\ _k_r_-;_-@_-"/>
    <numFmt numFmtId="166" formatCode="0.000"/>
    <numFmt numFmtId="167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rgb="FF3F3F7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8D8D8"/>
        <bgColor indexed="64"/>
      </patternFill>
    </fill>
  </fills>
  <borders count="4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medium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medium">
        <color theme="1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rgb="FF7F7F7F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rgb="FF7F7F7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9" fontId="5" fillId="0" borderId="0" applyFont="0" applyFill="0" applyBorder="0" applyAlignment="0" applyProtection="0"/>
    <xf numFmtId="0" fontId="9" fillId="3" borderId="0" applyNumberFormat="0" applyBorder="0" applyAlignment="0" applyProtection="0"/>
  </cellStyleXfs>
  <cellXfs count="12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9" fontId="0" fillId="0" borderId="5" xfId="2" applyFont="1" applyBorder="1"/>
    <xf numFmtId="0" fontId="0" fillId="0" borderId="4" xfId="0" applyFill="1" applyBorder="1"/>
    <xf numFmtId="11" fontId="0" fillId="0" borderId="6" xfId="0" applyNumberFormat="1" applyFill="1" applyBorder="1"/>
    <xf numFmtId="9" fontId="0" fillId="0" borderId="7" xfId="2" applyFont="1" applyFill="1" applyBorder="1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Protection="1">
      <protection locked="0" hidden="1"/>
    </xf>
    <xf numFmtId="0" fontId="0" fillId="0" borderId="6" xfId="0" applyBorder="1" applyProtection="1">
      <protection hidden="1"/>
    </xf>
    <xf numFmtId="0" fontId="0" fillId="0" borderId="11" xfId="0" applyBorder="1" applyProtection="1">
      <protection hidden="1"/>
    </xf>
    <xf numFmtId="0" fontId="2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9" fontId="0" fillId="0" borderId="0" xfId="2" applyFont="1" applyProtection="1">
      <protection hidden="1"/>
    </xf>
    <xf numFmtId="164" fontId="0" fillId="0" borderId="0" xfId="0" applyNumberFormat="1" applyProtection="1">
      <protection hidden="1"/>
    </xf>
    <xf numFmtId="2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1" fontId="0" fillId="0" borderId="0" xfId="2" applyNumberFormat="1" applyFont="1" applyProtection="1">
      <protection hidden="1"/>
    </xf>
    <xf numFmtId="9" fontId="0" fillId="0" borderId="0" xfId="2" applyFont="1" applyBorder="1" applyProtection="1">
      <protection hidden="1"/>
    </xf>
    <xf numFmtId="9" fontId="0" fillId="0" borderId="5" xfId="2" applyFont="1" applyBorder="1" applyProtection="1">
      <protection hidden="1"/>
    </xf>
    <xf numFmtId="9" fontId="0" fillId="0" borderId="11" xfId="2" applyFont="1" applyBorder="1" applyProtection="1">
      <protection hidden="1"/>
    </xf>
    <xf numFmtId="9" fontId="0" fillId="0" borderId="7" xfId="2" applyFont="1" applyBorder="1" applyProtection="1">
      <protection hidden="1"/>
    </xf>
    <xf numFmtId="1" fontId="0" fillId="0" borderId="8" xfId="0" applyNumberFormat="1" applyBorder="1" applyProtection="1">
      <protection hidden="1"/>
    </xf>
    <xf numFmtId="1" fontId="0" fillId="0" borderId="9" xfId="0" applyNumberFormat="1" applyBorder="1" applyProtection="1">
      <protection hidden="1"/>
    </xf>
    <xf numFmtId="1" fontId="0" fillId="0" borderId="2" xfId="2" applyNumberFormat="1" applyFont="1" applyBorder="1" applyProtection="1">
      <protection hidden="1"/>
    </xf>
    <xf numFmtId="9" fontId="0" fillId="0" borderId="2" xfId="2" applyFont="1" applyBorder="1" applyProtection="1">
      <protection hidden="1"/>
    </xf>
    <xf numFmtId="9" fontId="0" fillId="0" borderId="3" xfId="2" applyFont="1" applyBorder="1" applyProtection="1">
      <protection hidden="1"/>
    </xf>
    <xf numFmtId="1" fontId="0" fillId="0" borderId="6" xfId="2" applyNumberFormat="1" applyFont="1" applyBorder="1" applyProtection="1">
      <protection hidden="1"/>
    </xf>
    <xf numFmtId="9" fontId="0" fillId="0" borderId="6" xfId="2" applyFont="1" applyBorder="1" applyProtection="1"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0" xfId="0" applyAlignment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0" xfId="0"/>
    <xf numFmtId="10" fontId="0" fillId="0" borderId="7" xfId="2" applyNumberFormat="1" applyFont="1" applyFill="1" applyBorder="1"/>
    <xf numFmtId="164" fontId="10" fillId="4" borderId="0" xfId="0" applyNumberFormat="1" applyFont="1" applyFill="1" applyProtection="1">
      <protection hidden="1"/>
    </xf>
    <xf numFmtId="9" fontId="10" fillId="4" borderId="0" xfId="2" applyFont="1" applyFill="1" applyProtection="1">
      <protection hidden="1"/>
    </xf>
    <xf numFmtId="0" fontId="10" fillId="4" borderId="0" xfId="0" applyFont="1" applyFill="1" applyProtection="1">
      <protection hidden="1"/>
    </xf>
    <xf numFmtId="1" fontId="10" fillId="4" borderId="0" xfId="2" applyNumberFormat="1" applyFont="1" applyFill="1" applyProtection="1">
      <protection hidden="1"/>
    </xf>
    <xf numFmtId="164" fontId="10" fillId="4" borderId="0" xfId="0" applyNumberFormat="1" applyFont="1" applyFill="1" applyAlignment="1" applyProtection="1">
      <alignment horizontal="center"/>
      <protection hidden="1"/>
    </xf>
    <xf numFmtId="0" fontId="10" fillId="4" borderId="0" xfId="0" applyFont="1" applyFill="1" applyAlignment="1" applyProtection="1">
      <alignment horizontal="center" wrapText="1"/>
      <protection hidden="1"/>
    </xf>
    <xf numFmtId="0" fontId="6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1" fontId="0" fillId="4" borderId="0" xfId="0" applyNumberFormat="1" applyFill="1" applyProtection="1">
      <protection hidden="1"/>
    </xf>
    <xf numFmtId="0" fontId="2" fillId="4" borderId="0" xfId="0" applyFont="1" applyFill="1" applyProtection="1">
      <protection hidden="1"/>
    </xf>
    <xf numFmtId="0" fontId="8" fillId="4" borderId="0" xfId="0" applyFont="1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4" xfId="0" applyFill="1" applyBorder="1" applyProtection="1">
      <protection hidden="1"/>
    </xf>
    <xf numFmtId="0" fontId="0" fillId="4" borderId="11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6" fillId="4" borderId="0" xfId="0" applyFont="1" applyFill="1" applyBorder="1" applyProtection="1">
      <protection hidden="1"/>
    </xf>
    <xf numFmtId="0" fontId="0" fillId="4" borderId="0" xfId="0" applyFill="1" applyProtection="1">
      <protection locked="0" hidden="1"/>
    </xf>
    <xf numFmtId="0" fontId="6" fillId="4" borderId="0" xfId="0" applyFont="1" applyFill="1" applyProtection="1">
      <protection locked="0" hidden="1"/>
    </xf>
    <xf numFmtId="9" fontId="0" fillId="4" borderId="0" xfId="0" applyNumberFormat="1" applyFill="1" applyProtection="1">
      <protection hidden="1"/>
    </xf>
    <xf numFmtId="9" fontId="0" fillId="4" borderId="0" xfId="2" applyFont="1" applyFill="1" applyProtection="1">
      <protection hidden="1"/>
    </xf>
    <xf numFmtId="0" fontId="0" fillId="4" borderId="0" xfId="0" applyFill="1"/>
    <xf numFmtId="0" fontId="9" fillId="4" borderId="0" xfId="3" applyFill="1"/>
    <xf numFmtId="0" fontId="2" fillId="4" borderId="0" xfId="0" applyFont="1" applyFill="1" applyBorder="1" applyProtection="1">
      <protection hidden="1"/>
    </xf>
    <xf numFmtId="0" fontId="4" fillId="4" borderId="0" xfId="0" applyFont="1" applyFill="1" applyBorder="1" applyProtection="1">
      <protection hidden="1"/>
    </xf>
    <xf numFmtId="0" fontId="6" fillId="4" borderId="0" xfId="0" applyFont="1" applyFill="1" applyBorder="1" applyAlignment="1" applyProtection="1">
      <protection hidden="1"/>
    </xf>
    <xf numFmtId="0" fontId="14" fillId="4" borderId="0" xfId="0" applyFont="1" applyFill="1" applyProtection="1"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31" xfId="0" applyBorder="1" applyProtection="1">
      <protection hidden="1"/>
    </xf>
    <xf numFmtId="0" fontId="12" fillId="4" borderId="0" xfId="0" applyFont="1" applyFill="1" applyBorder="1" applyProtection="1">
      <protection hidden="1"/>
    </xf>
    <xf numFmtId="0" fontId="11" fillId="4" borderId="0" xfId="0" applyFont="1" applyFill="1" applyBorder="1" applyProtection="1">
      <protection hidden="1"/>
    </xf>
    <xf numFmtId="0" fontId="1" fillId="0" borderId="28" xfId="1" applyFill="1" applyBorder="1" applyAlignment="1" applyProtection="1">
      <alignment horizontal="center"/>
      <protection locked="0" hidden="1"/>
    </xf>
    <xf numFmtId="167" fontId="4" fillId="0" borderId="28" xfId="3" applyNumberFormat="1" applyFont="1" applyFill="1" applyBorder="1" applyAlignment="1" applyProtection="1">
      <alignment horizontal="center"/>
      <protection hidden="1"/>
    </xf>
    <xf numFmtId="0" fontId="0" fillId="0" borderId="28" xfId="0" applyBorder="1" applyProtection="1">
      <protection locked="0" hidden="1"/>
    </xf>
    <xf numFmtId="0" fontId="16" fillId="4" borderId="0" xfId="0" applyFont="1" applyFill="1" applyBorder="1" applyProtection="1">
      <protection hidden="1"/>
    </xf>
    <xf numFmtId="0" fontId="16" fillId="4" borderId="11" xfId="0" applyFont="1" applyFill="1" applyBorder="1" applyProtection="1">
      <protection hidden="1"/>
    </xf>
    <xf numFmtId="0" fontId="16" fillId="4" borderId="0" xfId="0" applyFont="1" applyFill="1" applyProtection="1">
      <protection hidden="1"/>
    </xf>
    <xf numFmtId="0" fontId="17" fillId="4" borderId="0" xfId="0" applyFont="1" applyFill="1" applyProtection="1">
      <protection hidden="1"/>
    </xf>
    <xf numFmtId="0" fontId="0" fillId="4" borderId="38" xfId="0" applyFill="1" applyBorder="1" applyAlignment="1" applyProtection="1">
      <alignment horizontal="center"/>
      <protection hidden="1"/>
    </xf>
    <xf numFmtId="0" fontId="0" fillId="4" borderId="39" xfId="0" applyFill="1" applyBorder="1" applyAlignment="1" applyProtection="1">
      <alignment wrapText="1"/>
      <protection hidden="1"/>
    </xf>
    <xf numFmtId="0" fontId="0" fillId="4" borderId="40" xfId="0" applyFill="1" applyBorder="1" applyAlignment="1" applyProtection="1">
      <alignment wrapText="1"/>
      <protection hidden="1"/>
    </xf>
    <xf numFmtId="0" fontId="6" fillId="5" borderId="14" xfId="1" applyFont="1" applyFill="1" applyBorder="1" applyAlignment="1" applyProtection="1">
      <alignment horizontal="center"/>
      <protection locked="0" hidden="1"/>
    </xf>
    <xf numFmtId="0" fontId="6" fillId="5" borderId="1" xfId="1" applyFont="1" applyFill="1" applyBorder="1" applyAlignment="1" applyProtection="1">
      <alignment horizontal="center"/>
      <protection locked="0" hidden="1"/>
    </xf>
    <xf numFmtId="0" fontId="6" fillId="5" borderId="12" xfId="1" applyFont="1" applyFill="1" applyBorder="1" applyAlignment="1" applyProtection="1">
      <alignment horizontal="center"/>
      <protection locked="0" hidden="1"/>
    </xf>
    <xf numFmtId="1" fontId="6" fillId="5" borderId="1" xfId="1" applyNumberFormat="1" applyFont="1" applyFill="1" applyBorder="1" applyAlignment="1" applyProtection="1">
      <alignment horizontal="center"/>
      <protection locked="0" hidden="1"/>
    </xf>
    <xf numFmtId="0" fontId="6" fillId="5" borderId="15" xfId="1" applyFont="1" applyFill="1" applyBorder="1" applyAlignment="1" applyProtection="1">
      <alignment horizontal="center"/>
      <protection locked="0" hidden="1"/>
    </xf>
    <xf numFmtId="0" fontId="6" fillId="5" borderId="16" xfId="1" applyFont="1" applyFill="1" applyBorder="1" applyAlignment="1" applyProtection="1">
      <alignment horizontal="center"/>
      <protection locked="0" hidden="1"/>
    </xf>
    <xf numFmtId="0" fontId="6" fillId="5" borderId="13" xfId="1" applyFont="1" applyFill="1" applyBorder="1" applyAlignment="1" applyProtection="1">
      <alignment horizontal="center"/>
      <protection locked="0" hidden="1"/>
    </xf>
    <xf numFmtId="0" fontId="6" fillId="5" borderId="19" xfId="1" applyFont="1" applyFill="1" applyBorder="1" applyAlignment="1" applyProtection="1">
      <alignment horizontal="center"/>
      <protection locked="0" hidden="1"/>
    </xf>
    <xf numFmtId="0" fontId="6" fillId="5" borderId="18" xfId="1" applyFont="1" applyFill="1" applyBorder="1" applyAlignment="1" applyProtection="1">
      <alignment horizontal="center"/>
      <protection locked="0" hidden="1"/>
    </xf>
    <xf numFmtId="0" fontId="6" fillId="5" borderId="20" xfId="1" applyFont="1" applyFill="1" applyBorder="1" applyAlignment="1" applyProtection="1">
      <alignment horizontal="center"/>
      <protection locked="0" hidden="1"/>
    </xf>
    <xf numFmtId="0" fontId="6" fillId="5" borderId="21" xfId="1" applyFont="1" applyFill="1" applyBorder="1" applyAlignment="1" applyProtection="1">
      <alignment horizontal="center"/>
      <protection locked="0" hidden="1"/>
    </xf>
    <xf numFmtId="0" fontId="6" fillId="5" borderId="17" xfId="1" applyFont="1" applyFill="1" applyBorder="1" applyAlignment="1" applyProtection="1">
      <alignment horizontal="center"/>
      <protection locked="0" hidden="1"/>
    </xf>
    <xf numFmtId="0" fontId="6" fillId="5" borderId="22" xfId="1" applyFont="1" applyFill="1" applyBorder="1" applyAlignment="1" applyProtection="1">
      <alignment horizontal="center"/>
      <protection locked="0" hidden="1"/>
    </xf>
    <xf numFmtId="0" fontId="6" fillId="5" borderId="23" xfId="1" applyFont="1" applyFill="1" applyBorder="1" applyAlignment="1" applyProtection="1">
      <alignment horizontal="center"/>
      <protection locked="0" hidden="1"/>
    </xf>
    <xf numFmtId="0" fontId="6" fillId="5" borderId="24" xfId="1" applyFont="1" applyFill="1" applyBorder="1" applyAlignment="1" applyProtection="1">
      <alignment horizontal="center"/>
      <protection locked="0" hidden="1"/>
    </xf>
    <xf numFmtId="164" fontId="18" fillId="4" borderId="32" xfId="3" applyNumberFormat="1" applyFont="1" applyFill="1" applyBorder="1" applyAlignment="1" applyProtection="1">
      <alignment horizontal="center"/>
      <protection hidden="1"/>
    </xf>
    <xf numFmtId="164" fontId="18" fillId="4" borderId="33" xfId="3" applyNumberFormat="1" applyFont="1" applyFill="1" applyBorder="1" applyAlignment="1" applyProtection="1">
      <alignment horizontal="center"/>
      <protection hidden="1"/>
    </xf>
    <xf numFmtId="1" fontId="18" fillId="4" borderId="34" xfId="3" applyNumberFormat="1" applyFont="1" applyFill="1" applyBorder="1" applyAlignment="1" applyProtection="1">
      <alignment horizontal="center"/>
      <protection hidden="1"/>
    </xf>
    <xf numFmtId="1" fontId="18" fillId="4" borderId="35" xfId="3" applyNumberFormat="1" applyFont="1" applyFill="1" applyBorder="1" applyAlignment="1" applyProtection="1">
      <alignment horizontal="center"/>
      <protection hidden="1"/>
    </xf>
    <xf numFmtId="167" fontId="18" fillId="4" borderId="34" xfId="3" applyNumberFormat="1" applyFont="1" applyFill="1" applyBorder="1" applyAlignment="1" applyProtection="1">
      <alignment horizontal="center"/>
      <protection hidden="1"/>
    </xf>
    <xf numFmtId="167" fontId="18" fillId="4" borderId="35" xfId="3" applyNumberFormat="1" applyFont="1" applyFill="1" applyBorder="1" applyAlignment="1" applyProtection="1">
      <alignment horizontal="center"/>
      <protection hidden="1"/>
    </xf>
    <xf numFmtId="165" fontId="18" fillId="4" borderId="34" xfId="3" applyNumberFormat="1" applyFont="1" applyFill="1" applyBorder="1" applyAlignment="1" applyProtection="1">
      <alignment horizontal="center"/>
      <protection hidden="1"/>
    </xf>
    <xf numFmtId="165" fontId="18" fillId="4" borderId="35" xfId="3" applyNumberFormat="1" applyFont="1" applyFill="1" applyBorder="1" applyAlignment="1" applyProtection="1">
      <alignment horizontal="center"/>
      <protection hidden="1"/>
    </xf>
    <xf numFmtId="9" fontId="18" fillId="4" borderId="34" xfId="3" applyNumberFormat="1" applyFont="1" applyFill="1" applyBorder="1" applyAlignment="1" applyProtection="1">
      <alignment horizontal="center"/>
      <protection hidden="1"/>
    </xf>
    <xf numFmtId="9" fontId="18" fillId="4" borderId="35" xfId="3" applyNumberFormat="1" applyFont="1" applyFill="1" applyBorder="1" applyAlignment="1" applyProtection="1">
      <alignment horizontal="center"/>
      <protection hidden="1"/>
    </xf>
    <xf numFmtId="2" fontId="18" fillId="4" borderId="34" xfId="3" applyNumberFormat="1" applyFont="1" applyFill="1" applyBorder="1" applyAlignment="1" applyProtection="1">
      <alignment horizontal="center"/>
      <protection hidden="1"/>
    </xf>
    <xf numFmtId="2" fontId="18" fillId="4" borderId="35" xfId="3" applyNumberFormat="1" applyFont="1" applyFill="1" applyBorder="1" applyAlignment="1" applyProtection="1">
      <alignment horizontal="center"/>
      <protection hidden="1"/>
    </xf>
    <xf numFmtId="0" fontId="19" fillId="4" borderId="36" xfId="3" applyFont="1" applyFill="1" applyBorder="1" applyProtection="1">
      <protection hidden="1"/>
    </xf>
    <xf numFmtId="0" fontId="18" fillId="4" borderId="37" xfId="3" applyFont="1" applyFill="1" applyBorder="1" applyProtection="1">
      <protection hidden="1"/>
    </xf>
    <xf numFmtId="0" fontId="6" fillId="6" borderId="1" xfId="1" applyFont="1" applyFill="1"/>
    <xf numFmtId="0" fontId="0" fillId="0" borderId="0" xfId="0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wrapText="1"/>
      <protection hidden="1"/>
    </xf>
  </cellXfs>
  <cellStyles count="4">
    <cellStyle name="Bra" xfId="3" builtinId="26"/>
    <cellStyle name="Indata" xfId="1" builtinId="20"/>
    <cellStyle name="Normal" xfId="0" builtinId="0"/>
    <cellStyle name="Procent" xfId="2" builtinId="5"/>
  </cellStyles>
  <dxfs count="0"/>
  <tableStyles count="0" defaultTableStyle="TableStyleMedium2" defaultPivotStyle="PivotStyleLight16"/>
  <colors>
    <mruColors>
      <color rgb="FFD8D8D8"/>
      <color rgb="FFEEEEEE"/>
      <color rgb="FF555555"/>
      <color rgb="FFFC892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Byggnadens</a:t>
            </a:r>
            <a:r>
              <a:rPr lang="en-GB" baseline="0"/>
              <a:t> totala energibehov</a:t>
            </a:r>
            <a:endParaRPr lang="en-GB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1809740887652202"/>
          <c:y val="0.21908904473757645"/>
          <c:w val="0.66982548312491963"/>
          <c:h val="0.5954768725601276"/>
        </c:manualLayout>
      </c:layout>
      <c:barChart>
        <c:barDir val="col"/>
        <c:grouping val="stacked"/>
        <c:varyColors val="0"/>
        <c:ser>
          <c:idx val="0"/>
          <c:order val="0"/>
          <c:tx>
            <c:v>Tappvarmvatten</c:v>
          </c:tx>
          <c:spPr>
            <a:solidFill>
              <a:srgbClr val="55555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Säsongsvariationer!$B$3:$B$14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Säsongsvariationer!$C$3:$C$14</c:f>
              <c:numCache>
                <c:formatCode>0.0</c:formatCode>
                <c:ptCount val="12"/>
                <c:pt idx="0">
                  <c:v>54.166666666666664</c:v>
                </c:pt>
                <c:pt idx="1">
                  <c:v>50</c:v>
                </c:pt>
                <c:pt idx="2">
                  <c:v>54.166666666666664</c:v>
                </c:pt>
                <c:pt idx="3">
                  <c:v>45.833333333333336</c:v>
                </c:pt>
                <c:pt idx="4">
                  <c:v>37.5</c:v>
                </c:pt>
                <c:pt idx="5">
                  <c:v>33.333333333333336</c:v>
                </c:pt>
                <c:pt idx="6">
                  <c:v>25</c:v>
                </c:pt>
                <c:pt idx="7">
                  <c:v>29.166666666666668</c:v>
                </c:pt>
                <c:pt idx="8">
                  <c:v>33.333333333333336</c:v>
                </c:pt>
                <c:pt idx="9">
                  <c:v>41.666666666666664</c:v>
                </c:pt>
                <c:pt idx="10">
                  <c:v>45.833333333333336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Säsongsvariationer!$D$2</c:f>
              <c:strCache>
                <c:ptCount val="1"/>
                <c:pt idx="0">
                  <c:v>Uppvärmning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Säsongsvariationer!$B$3:$B$14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Säsongsvariationer!$D$3:$D$14</c:f>
              <c:numCache>
                <c:formatCode>0</c:formatCode>
                <c:ptCount val="12"/>
                <c:pt idx="0">
                  <c:v>226.58227848101262</c:v>
                </c:pt>
                <c:pt idx="1">
                  <c:v>226.58227848101262</c:v>
                </c:pt>
                <c:pt idx="2">
                  <c:v>189.87341772151899</c:v>
                </c:pt>
                <c:pt idx="3">
                  <c:v>139.24050632911391</c:v>
                </c:pt>
                <c:pt idx="4">
                  <c:v>68.354430379746844</c:v>
                </c:pt>
                <c:pt idx="5">
                  <c:v>18.9873417721519</c:v>
                </c:pt>
                <c:pt idx="6">
                  <c:v>5.0632911392404889</c:v>
                </c:pt>
                <c:pt idx="7">
                  <c:v>10.126582278481022</c:v>
                </c:pt>
                <c:pt idx="8">
                  <c:v>53.164556962025308</c:v>
                </c:pt>
                <c:pt idx="9">
                  <c:v>100.00000000000001</c:v>
                </c:pt>
                <c:pt idx="10">
                  <c:v>159.49367088607593</c:v>
                </c:pt>
                <c:pt idx="11">
                  <c:v>202.53164556962025</c:v>
                </c:pt>
              </c:numCache>
            </c:numRef>
          </c:val>
        </c:ser>
        <c:ser>
          <c:idx val="2"/>
          <c:order val="2"/>
          <c:tx>
            <c:v>Fastighetsel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Säsongsvariationer!$E$3:$E$14</c:f>
              <c:numCache>
                <c:formatCode>0</c:formatCode>
                <c:ptCount val="12"/>
                <c:pt idx="0">
                  <c:v>8.3333333333333339</c:v>
                </c:pt>
                <c:pt idx="1">
                  <c:v>8.3333333333333339</c:v>
                </c:pt>
                <c:pt idx="2">
                  <c:v>8.3333333333333339</c:v>
                </c:pt>
                <c:pt idx="3">
                  <c:v>8.3333333333333339</c:v>
                </c:pt>
                <c:pt idx="4">
                  <c:v>8.3333333333333339</c:v>
                </c:pt>
                <c:pt idx="5">
                  <c:v>8.3333333333333339</c:v>
                </c:pt>
                <c:pt idx="6">
                  <c:v>8.3333333333333339</c:v>
                </c:pt>
                <c:pt idx="7">
                  <c:v>8.3333333333333339</c:v>
                </c:pt>
                <c:pt idx="8">
                  <c:v>8.3333333333333339</c:v>
                </c:pt>
                <c:pt idx="9">
                  <c:v>8.3333333333333339</c:v>
                </c:pt>
                <c:pt idx="10">
                  <c:v>8.3333333333333339</c:v>
                </c:pt>
                <c:pt idx="11">
                  <c:v>8.3333333333333339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4408264"/>
        <c:axId val="284405520"/>
      </c:barChart>
      <c:catAx>
        <c:axId val="28440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sv-SE"/>
          </a:p>
        </c:txPr>
        <c:crossAx val="284405520"/>
        <c:crosses val="autoZero"/>
        <c:auto val="1"/>
        <c:lblAlgn val="ctr"/>
        <c:lblOffset val="100"/>
        <c:noMultiLvlLbl val="0"/>
      </c:catAx>
      <c:valAx>
        <c:axId val="2844055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[MWh/månad]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sv-SE"/>
          </a:p>
        </c:txPr>
        <c:crossAx val="284408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713224554913852"/>
          <c:y val="0.41829305555555546"/>
          <c:w val="0.20888184460797163"/>
          <c:h val="0.24278888888888894"/>
        </c:manualLayout>
      </c:layout>
      <c:overlay val="0"/>
      <c:txPr>
        <a:bodyPr/>
        <a:lstStyle/>
        <a:p>
          <a:pPr>
            <a:defRPr lang="en-GB"/>
          </a:pPr>
          <a:endParaRPr lang="sv-S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Solvärmeutbyte</a:t>
            </a:r>
            <a:r>
              <a:rPr lang="en-GB" baseline="0"/>
              <a:t> </a:t>
            </a:r>
            <a:endParaRPr lang="en-GB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1809740887652202"/>
          <c:y val="0.21908904473757651"/>
          <c:w val="0.60512033857157455"/>
          <c:h val="0.59554986582898573"/>
        </c:manualLayout>
      </c:layout>
      <c:barChart>
        <c:barDir val="col"/>
        <c:grouping val="stacked"/>
        <c:varyColors val="0"/>
        <c:ser>
          <c:idx val="0"/>
          <c:order val="0"/>
          <c:tx>
            <c:v>Används för tappvarmvatten</c:v>
          </c:tx>
          <c:spPr>
            <a:solidFill>
              <a:srgbClr val="555555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Säsongsvariationer!$B$3:$B$14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Säsongsvariationer!$AE$3:$AE$14</c:f>
              <c:numCache>
                <c:formatCode>0.0</c:formatCode>
                <c:ptCount val="12"/>
                <c:pt idx="0">
                  <c:v>8.5569872836654994</c:v>
                </c:pt>
                <c:pt idx="1">
                  <c:v>17.992257719613381</c:v>
                </c:pt>
                <c:pt idx="2">
                  <c:v>30.765004134234317</c:v>
                </c:pt>
                <c:pt idx="3">
                  <c:v>42.835124027029345</c:v>
                </c:pt>
                <c:pt idx="4">
                  <c:v>37.5</c:v>
                </c:pt>
                <c:pt idx="5">
                  <c:v>33.333333333333336</c:v>
                </c:pt>
                <c:pt idx="6">
                  <c:v>25</c:v>
                </c:pt>
                <c:pt idx="7">
                  <c:v>29.166666666666668</c:v>
                </c:pt>
                <c:pt idx="8">
                  <c:v>33.333333333333336</c:v>
                </c:pt>
                <c:pt idx="9">
                  <c:v>21.35482750263736</c:v>
                </c:pt>
                <c:pt idx="10">
                  <c:v>11.091461523108945</c:v>
                </c:pt>
                <c:pt idx="11">
                  <c:v>6.7000457616970337</c:v>
                </c:pt>
              </c:numCache>
            </c:numRef>
          </c:val>
        </c:ser>
        <c:ser>
          <c:idx val="2"/>
          <c:order val="1"/>
          <c:tx>
            <c:v>Används för uppvärmning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val>
            <c:numRef>
              <c:f>Säsongsvariationer!$AF$3:$AF$14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16.727711202349397</c:v>
                </c:pt>
                <c:pt idx="5">
                  <c:v>18.9873417721519</c:v>
                </c:pt>
                <c:pt idx="6">
                  <c:v>5.0632911392404889</c:v>
                </c:pt>
                <c:pt idx="7">
                  <c:v>10.126582278481022</c:v>
                </c:pt>
                <c:pt idx="8">
                  <c:v>1.4215856926980877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2"/>
          <c:tx>
            <c:v>Säljs</c:v>
          </c:tx>
          <c:spPr>
            <a:solidFill>
              <a:srgbClr val="FC892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Säsongsvariationer!$B$3:$B$14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Säsongsvariationer!$AH$3:$AH$14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5.1190430537825904</c:v>
                </c:pt>
                <c:pt idx="6">
                  <c:v>25.770423541568114</c:v>
                </c:pt>
                <c:pt idx="7">
                  <c:v>10.317202256631466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v>dummy</c:v>
          </c:tx>
          <c:spPr>
            <a:noFill/>
            <a:ln>
              <a:noFill/>
            </a:ln>
          </c:spPr>
          <c:invertIfNegative val="0"/>
          <c:val>
            <c:numRef>
              <c:f>Säsongsvariationer!$C$3:$C$14</c:f>
              <c:numCache>
                <c:formatCode>0.0</c:formatCode>
                <c:ptCount val="12"/>
                <c:pt idx="0">
                  <c:v>54.166666666666664</c:v>
                </c:pt>
                <c:pt idx="1">
                  <c:v>50</c:v>
                </c:pt>
                <c:pt idx="2">
                  <c:v>54.166666666666664</c:v>
                </c:pt>
                <c:pt idx="3">
                  <c:v>45.833333333333336</c:v>
                </c:pt>
                <c:pt idx="4">
                  <c:v>37.5</c:v>
                </c:pt>
                <c:pt idx="5">
                  <c:v>33.333333333333336</c:v>
                </c:pt>
                <c:pt idx="6">
                  <c:v>25</c:v>
                </c:pt>
                <c:pt idx="7">
                  <c:v>29.166666666666668</c:v>
                </c:pt>
                <c:pt idx="8">
                  <c:v>33.333333333333336</c:v>
                </c:pt>
                <c:pt idx="9">
                  <c:v>41.666666666666664</c:v>
                </c:pt>
                <c:pt idx="10">
                  <c:v>45.833333333333336</c:v>
                </c:pt>
                <c:pt idx="11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4405912"/>
        <c:axId val="284407088"/>
      </c:barChart>
      <c:barChart>
        <c:barDir val="col"/>
        <c:grouping val="stacked"/>
        <c:varyColors val="0"/>
        <c:ser>
          <c:idx val="3"/>
          <c:order val="3"/>
          <c:tx>
            <c:strRef>
              <c:f>Säsongsvariationer!$C$2</c:f>
              <c:strCache>
                <c:ptCount val="1"/>
                <c:pt idx="0">
                  <c:v>Tappvarmvattenbehovet</c:v>
                </c:pt>
              </c:strCache>
            </c:strRef>
          </c:tx>
          <c:spPr>
            <a:noFill/>
            <a:ln w="19050">
              <a:solidFill>
                <a:srgbClr val="FF0000"/>
              </a:solidFill>
              <a:prstDash val="sysDash"/>
            </a:ln>
          </c:spPr>
          <c:invertIfNegative val="0"/>
          <c:val>
            <c:numRef>
              <c:f>Säsongsvariationer!$C$3:$C$14</c:f>
              <c:numCache>
                <c:formatCode>0.0</c:formatCode>
                <c:ptCount val="12"/>
                <c:pt idx="0">
                  <c:v>54.166666666666664</c:v>
                </c:pt>
                <c:pt idx="1">
                  <c:v>50</c:v>
                </c:pt>
                <c:pt idx="2">
                  <c:v>54.166666666666664</c:v>
                </c:pt>
                <c:pt idx="3">
                  <c:v>45.833333333333336</c:v>
                </c:pt>
                <c:pt idx="4">
                  <c:v>37.5</c:v>
                </c:pt>
                <c:pt idx="5">
                  <c:v>33.333333333333336</c:v>
                </c:pt>
                <c:pt idx="6">
                  <c:v>25</c:v>
                </c:pt>
                <c:pt idx="7">
                  <c:v>29.166666666666668</c:v>
                </c:pt>
                <c:pt idx="8">
                  <c:v>33.333333333333336</c:v>
                </c:pt>
                <c:pt idx="9">
                  <c:v>41.666666666666664</c:v>
                </c:pt>
                <c:pt idx="10">
                  <c:v>45.833333333333336</c:v>
                </c:pt>
                <c:pt idx="11">
                  <c:v>50</c:v>
                </c:pt>
              </c:numCache>
            </c:numRef>
          </c:val>
        </c:ser>
        <c:ser>
          <c:idx val="5"/>
          <c:order val="5"/>
          <c:tx>
            <c:v>dummy2</c:v>
          </c:tx>
          <c:spPr>
            <a:noFill/>
            <a:ln>
              <a:noFill/>
              <a:prstDash val="dash"/>
            </a:ln>
          </c:spPr>
          <c:invertIfNegative val="0"/>
          <c:val>
            <c:numRef>
              <c:f>Säsongsvariationer!$AC$3:$AC$14</c:f>
              <c:numCache>
                <c:formatCode>0.0</c:formatCode>
                <c:ptCount val="12"/>
                <c:pt idx="0">
                  <c:v>8.5569872836654994</c:v>
                </c:pt>
                <c:pt idx="1">
                  <c:v>17.992257719613381</c:v>
                </c:pt>
                <c:pt idx="2">
                  <c:v>30.765004134234317</c:v>
                </c:pt>
                <c:pt idx="3">
                  <c:v>42.835124027029345</c:v>
                </c:pt>
                <c:pt idx="4">
                  <c:v>54.227711202349397</c:v>
                </c:pt>
                <c:pt idx="5">
                  <c:v>57.439718159267827</c:v>
                </c:pt>
                <c:pt idx="6">
                  <c:v>55.833714680808605</c:v>
                </c:pt>
                <c:pt idx="7">
                  <c:v>49.610451201779156</c:v>
                </c:pt>
                <c:pt idx="8">
                  <c:v>34.754919026031423</c:v>
                </c:pt>
                <c:pt idx="9">
                  <c:v>21.35482750263736</c:v>
                </c:pt>
                <c:pt idx="10">
                  <c:v>11.091461523108945</c:v>
                </c:pt>
                <c:pt idx="11">
                  <c:v>6.7000457616970337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4408656"/>
        <c:axId val="284405128"/>
      </c:barChart>
      <c:catAx>
        <c:axId val="284405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sv-SE"/>
          </a:p>
        </c:txPr>
        <c:crossAx val="284407088"/>
        <c:crosses val="autoZero"/>
        <c:auto val="1"/>
        <c:lblAlgn val="ctr"/>
        <c:lblOffset val="100"/>
        <c:noMultiLvlLbl val="0"/>
      </c:catAx>
      <c:valAx>
        <c:axId val="28440708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[MWh/månad]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sv-SE"/>
          </a:p>
        </c:txPr>
        <c:crossAx val="284405912"/>
        <c:crosses val="autoZero"/>
        <c:crossBetween val="between"/>
      </c:valAx>
      <c:valAx>
        <c:axId val="284405128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one"/>
        <c:crossAx val="284408656"/>
        <c:crosses val="max"/>
        <c:crossBetween val="between"/>
      </c:valAx>
      <c:catAx>
        <c:axId val="284408656"/>
        <c:scaling>
          <c:orientation val="minMax"/>
        </c:scaling>
        <c:delete val="1"/>
        <c:axPos val="b"/>
        <c:majorTickMark val="out"/>
        <c:minorTickMark val="none"/>
        <c:tickLblPos val="none"/>
        <c:crossAx val="28440512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72006043771043771"/>
          <c:y val="0.35438993055555568"/>
          <c:w val="0.27993952242545816"/>
          <c:h val="0.29190821812558382"/>
        </c:manualLayout>
      </c:layout>
      <c:overlay val="0"/>
      <c:txPr>
        <a:bodyPr/>
        <a:lstStyle/>
        <a:p>
          <a:pPr>
            <a:defRPr lang="en-GB"/>
          </a:pPr>
          <a:endParaRPr lang="sv-S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Solelutbyte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1809740887652202"/>
          <c:y val="0.21908904473757657"/>
          <c:w val="0.66190550012170302"/>
          <c:h val="0.55285447839920365"/>
        </c:manualLayout>
      </c:layout>
      <c:barChart>
        <c:barDir val="col"/>
        <c:grouping val="stacked"/>
        <c:varyColors val="0"/>
        <c:ser>
          <c:idx val="0"/>
          <c:order val="0"/>
          <c:tx>
            <c:v>Används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Säsongsvariationer!$B$3:$B$14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Säsongsvariationer!$AD$3:$AD$14</c:f>
              <c:numCache>
                <c:formatCode>0.0</c:formatCode>
                <c:ptCount val="12"/>
                <c:pt idx="0">
                  <c:v>2.5029187804721587</c:v>
                </c:pt>
                <c:pt idx="1">
                  <c:v>5.2627353829869135</c:v>
                </c:pt>
                <c:pt idx="2">
                  <c:v>8.3333333333333339</c:v>
                </c:pt>
                <c:pt idx="3">
                  <c:v>8.3333333333333339</c:v>
                </c:pt>
                <c:pt idx="4">
                  <c:v>8.3333333333333339</c:v>
                </c:pt>
                <c:pt idx="5">
                  <c:v>8.3333333333333339</c:v>
                </c:pt>
                <c:pt idx="6">
                  <c:v>8.3333333333333339</c:v>
                </c:pt>
                <c:pt idx="7">
                  <c:v>8.3333333333333339</c:v>
                </c:pt>
                <c:pt idx="8">
                  <c:v>8.3333333333333339</c:v>
                </c:pt>
                <c:pt idx="9">
                  <c:v>6.2462870445214271</c:v>
                </c:pt>
                <c:pt idx="10">
                  <c:v>3.2442524955093663</c:v>
                </c:pt>
                <c:pt idx="11">
                  <c:v>1.9597633852963821</c:v>
                </c:pt>
              </c:numCache>
            </c:numRef>
          </c:val>
        </c:ser>
        <c:ser>
          <c:idx val="1"/>
          <c:order val="1"/>
          <c:tx>
            <c:v>Säljs</c:v>
          </c:tx>
          <c:spPr>
            <a:solidFill>
              <a:srgbClr val="FC8922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Säsongsvariationer!$B$3:$B$14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Säsongsvariationer!$AG$3:$AG$14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0.66543037593020316</c:v>
                </c:pt>
                <c:pt idx="3">
                  <c:v>4.1959404445727486</c:v>
                </c:pt>
                <c:pt idx="4">
                  <c:v>7.5282721933538639</c:v>
                </c:pt>
                <c:pt idx="5">
                  <c:v>8.4677842282525031</c:v>
                </c:pt>
                <c:pt idx="6">
                  <c:v>7.9980282108031826</c:v>
                </c:pt>
                <c:pt idx="7">
                  <c:v>6.1777236431870683</c:v>
                </c:pt>
                <c:pt idx="8">
                  <c:v>1.8324804817808573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v>Dummy1</c:v>
          </c:tx>
          <c:spPr>
            <a:noFill/>
            <a:ln>
              <a:noFill/>
            </a:ln>
          </c:spPr>
          <c:invertIfNegative val="0"/>
          <c:cat>
            <c:strRef>
              <c:f>Säsongsvariationer!$B$3:$B$14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Säsongsvariationer!$E$3:$E$14</c:f>
              <c:numCache>
                <c:formatCode>0</c:formatCode>
                <c:ptCount val="12"/>
                <c:pt idx="0">
                  <c:v>8.3333333333333339</c:v>
                </c:pt>
                <c:pt idx="1">
                  <c:v>8.3333333333333339</c:v>
                </c:pt>
                <c:pt idx="2">
                  <c:v>8.3333333333333339</c:v>
                </c:pt>
                <c:pt idx="3">
                  <c:v>8.3333333333333339</c:v>
                </c:pt>
                <c:pt idx="4">
                  <c:v>8.3333333333333339</c:v>
                </c:pt>
                <c:pt idx="5">
                  <c:v>8.3333333333333339</c:v>
                </c:pt>
                <c:pt idx="6">
                  <c:v>8.3333333333333339</c:v>
                </c:pt>
                <c:pt idx="7">
                  <c:v>8.3333333333333339</c:v>
                </c:pt>
                <c:pt idx="8">
                  <c:v>8.3333333333333339</c:v>
                </c:pt>
                <c:pt idx="9">
                  <c:v>8.3333333333333339</c:v>
                </c:pt>
                <c:pt idx="10">
                  <c:v>8.3333333333333339</c:v>
                </c:pt>
                <c:pt idx="11">
                  <c:v>8.3333333333333339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4406696"/>
        <c:axId val="286596808"/>
      </c:barChart>
      <c:barChart>
        <c:barDir val="col"/>
        <c:grouping val="stacked"/>
        <c:varyColors val="0"/>
        <c:ser>
          <c:idx val="2"/>
          <c:order val="2"/>
          <c:tx>
            <c:strRef>
              <c:f>Säsongsvariationer!$E$2</c:f>
              <c:strCache>
                <c:ptCount val="1"/>
                <c:pt idx="0">
                  <c:v>Fastighetselbehovet</c:v>
                </c:pt>
              </c:strCache>
            </c:strRef>
          </c:tx>
          <c:spPr>
            <a:noFill/>
            <a:ln w="19050">
              <a:solidFill>
                <a:srgbClr val="FF0000"/>
              </a:solidFill>
              <a:prstDash val="sysDash"/>
            </a:ln>
          </c:spPr>
          <c:invertIfNegative val="0"/>
          <c:cat>
            <c:strRef>
              <c:f>Säsongsvariationer!$B$3:$B$14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Säsongsvariationer!$E$3:$E$14</c:f>
              <c:numCache>
                <c:formatCode>0</c:formatCode>
                <c:ptCount val="12"/>
                <c:pt idx="0">
                  <c:v>8.3333333333333339</c:v>
                </c:pt>
                <c:pt idx="1">
                  <c:v>8.3333333333333339</c:v>
                </c:pt>
                <c:pt idx="2">
                  <c:v>8.3333333333333339</c:v>
                </c:pt>
                <c:pt idx="3">
                  <c:v>8.3333333333333339</c:v>
                </c:pt>
                <c:pt idx="4">
                  <c:v>8.3333333333333339</c:v>
                </c:pt>
                <c:pt idx="5">
                  <c:v>8.3333333333333339</c:v>
                </c:pt>
                <c:pt idx="6">
                  <c:v>8.3333333333333339</c:v>
                </c:pt>
                <c:pt idx="7">
                  <c:v>8.3333333333333339</c:v>
                </c:pt>
                <c:pt idx="8">
                  <c:v>8.3333333333333339</c:v>
                </c:pt>
                <c:pt idx="9">
                  <c:v>8.3333333333333339</c:v>
                </c:pt>
                <c:pt idx="10">
                  <c:v>8.3333333333333339</c:v>
                </c:pt>
                <c:pt idx="11">
                  <c:v>8.3333333333333339</c:v>
                </c:pt>
              </c:numCache>
            </c:numRef>
          </c:val>
        </c:ser>
        <c:ser>
          <c:idx val="3"/>
          <c:order val="3"/>
          <c:tx>
            <c:v>Dummy2</c:v>
          </c:tx>
          <c:spPr>
            <a:noFill/>
            <a:ln w="31750" cmpd="dbl">
              <a:noFill/>
            </a:ln>
          </c:spPr>
          <c:invertIfNegative val="0"/>
          <c:cat>
            <c:strRef>
              <c:f>Säsongsvariationer!$B$3:$B$14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Säsongsvariationer!$AB$3:$AB$14</c:f>
              <c:numCache>
                <c:formatCode>0.0</c:formatCode>
                <c:ptCount val="12"/>
                <c:pt idx="0">
                  <c:v>2.5029187804721587</c:v>
                </c:pt>
                <c:pt idx="1">
                  <c:v>5.2627353829869135</c:v>
                </c:pt>
                <c:pt idx="2">
                  <c:v>8.9987637092635371</c:v>
                </c:pt>
                <c:pt idx="3">
                  <c:v>12.529273777906083</c:v>
                </c:pt>
                <c:pt idx="4">
                  <c:v>15.861605526687198</c:v>
                </c:pt>
                <c:pt idx="5">
                  <c:v>16.801117561585837</c:v>
                </c:pt>
                <c:pt idx="6">
                  <c:v>16.331361544136517</c:v>
                </c:pt>
                <c:pt idx="7">
                  <c:v>14.511056976520402</c:v>
                </c:pt>
                <c:pt idx="8">
                  <c:v>10.165813815114191</c:v>
                </c:pt>
                <c:pt idx="9">
                  <c:v>6.2462870445214271</c:v>
                </c:pt>
                <c:pt idx="10">
                  <c:v>3.2442524955093663</c:v>
                </c:pt>
                <c:pt idx="11">
                  <c:v>1.9597633852963821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6595632"/>
        <c:axId val="286597592"/>
      </c:barChart>
      <c:catAx>
        <c:axId val="284406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sv-SE"/>
          </a:p>
        </c:txPr>
        <c:crossAx val="286596808"/>
        <c:crosses val="autoZero"/>
        <c:auto val="1"/>
        <c:lblAlgn val="ctr"/>
        <c:lblOffset val="100"/>
        <c:noMultiLvlLbl val="0"/>
      </c:catAx>
      <c:valAx>
        <c:axId val="286596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lang="en-GB"/>
                </a:pPr>
                <a:r>
                  <a:rPr lang="en-GB"/>
                  <a:t>[MWh/månad]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/>
            </a:pPr>
            <a:endParaRPr lang="sv-SE"/>
          </a:p>
        </c:txPr>
        <c:crossAx val="284406696"/>
        <c:crosses val="autoZero"/>
        <c:crossBetween val="between"/>
      </c:valAx>
      <c:valAx>
        <c:axId val="286597592"/>
        <c:scaling>
          <c:orientation val="minMax"/>
          <c:min val="0"/>
        </c:scaling>
        <c:delete val="1"/>
        <c:axPos val="r"/>
        <c:numFmt formatCode="0" sourceLinked="1"/>
        <c:majorTickMark val="out"/>
        <c:minorTickMark val="none"/>
        <c:tickLblPos val="none"/>
        <c:crossAx val="286595632"/>
        <c:crosses val="max"/>
        <c:crossBetween val="between"/>
      </c:valAx>
      <c:catAx>
        <c:axId val="286595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8659759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8215954861111114"/>
          <c:y val="0.42404803921568762"/>
          <c:w val="0.21784045138888891"/>
          <c:h val="0.22514999999999999"/>
        </c:manualLayout>
      </c:layout>
      <c:overlay val="0"/>
      <c:txPr>
        <a:bodyPr/>
        <a:lstStyle/>
        <a:p>
          <a:pPr>
            <a:defRPr lang="en-GB"/>
          </a:pPr>
          <a:endParaRPr lang="sv-S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54890</xdr:colOff>
      <xdr:row>39</xdr:row>
      <xdr:rowOff>92148</xdr:rowOff>
    </xdr:from>
    <xdr:to>
      <xdr:col>3</xdr:col>
      <xdr:colOff>666749</xdr:colOff>
      <xdr:row>52</xdr:row>
      <xdr:rowOff>135648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745790</xdr:colOff>
      <xdr:row>39</xdr:row>
      <xdr:rowOff>97252</xdr:rowOff>
    </xdr:from>
    <xdr:to>
      <xdr:col>6</xdr:col>
      <xdr:colOff>2351915</xdr:colOff>
      <xdr:row>52</xdr:row>
      <xdr:rowOff>140752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64238</xdr:colOff>
      <xdr:row>39</xdr:row>
      <xdr:rowOff>95155</xdr:rowOff>
    </xdr:from>
    <xdr:to>
      <xdr:col>8</xdr:col>
      <xdr:colOff>71438</xdr:colOff>
      <xdr:row>52</xdr:row>
      <xdr:rowOff>138655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951043</xdr:colOff>
      <xdr:row>1</xdr:row>
      <xdr:rowOff>300369</xdr:rowOff>
    </xdr:from>
    <xdr:to>
      <xdr:col>7</xdr:col>
      <xdr:colOff>202406</xdr:colOff>
      <xdr:row>8</xdr:row>
      <xdr:rowOff>31282</xdr:rowOff>
    </xdr:to>
    <xdr:pic>
      <xdr:nvPicPr>
        <xdr:cNvPr id="5" name="Bildobjekt 4" descr="C:\Users\åsa\Pictures\bebo_logo_medium_color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18606" y="490869"/>
          <a:ext cx="4228175" cy="1135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940595</xdr:colOff>
      <xdr:row>8</xdr:row>
      <xdr:rowOff>95250</xdr:rowOff>
    </xdr:from>
    <xdr:to>
      <xdr:col>7</xdr:col>
      <xdr:colOff>500063</xdr:colOff>
      <xdr:row>12</xdr:row>
      <xdr:rowOff>0</xdr:rowOff>
    </xdr:to>
    <xdr:sp macro="" textlink="">
      <xdr:nvSpPr>
        <xdr:cNvPr id="7" name="textruta 6"/>
        <xdr:cNvSpPr txBox="1"/>
      </xdr:nvSpPr>
      <xdr:spPr>
        <a:xfrm>
          <a:off x="8108158" y="1690688"/>
          <a:ext cx="4536280" cy="78581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400">
              <a:latin typeface="Calibri" pitchFamily="34" charset="0"/>
            </a:rPr>
            <a:t>Indata skrivs i grå celler, </a:t>
          </a:r>
          <a:r>
            <a:rPr lang="en-GB" sz="1400" baseline="0">
              <a:solidFill>
                <a:schemeClr val="dk1"/>
              </a:solidFill>
              <a:latin typeface="Calibri" pitchFamily="34" charset="0"/>
              <a:ea typeface="+mn-ea"/>
              <a:cs typeface="+mn-cs"/>
            </a:rPr>
            <a:t>kostnader och prestanda kan justeras under fliken "Inställningar" och f</a:t>
          </a:r>
          <a:r>
            <a:rPr lang="en-GB" sz="1400" baseline="0">
              <a:latin typeface="Calibri" pitchFamily="34" charset="0"/>
            </a:rPr>
            <a:t>örklaringar finns under fliken  "Förklaringar".</a:t>
          </a:r>
          <a:endParaRPr lang="en-GB" sz="1400">
            <a:latin typeface="Calibri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1</xdr:row>
      <xdr:rowOff>114300</xdr:rowOff>
    </xdr:from>
    <xdr:to>
      <xdr:col>6</xdr:col>
      <xdr:colOff>9525</xdr:colOff>
      <xdr:row>5</xdr:row>
      <xdr:rowOff>183904</xdr:rowOff>
    </xdr:to>
    <xdr:pic>
      <xdr:nvPicPr>
        <xdr:cNvPr id="2" name="Bildobjekt 1" descr="C:\Users\åsa\Pictures\bebo_logo_medium_color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1" y="304800"/>
          <a:ext cx="3095624" cy="8316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23</xdr:row>
      <xdr:rowOff>47625</xdr:rowOff>
    </xdr:from>
    <xdr:to>
      <xdr:col>10</xdr:col>
      <xdr:colOff>581026</xdr:colOff>
      <xdr:row>40</xdr:row>
      <xdr:rowOff>9526</xdr:rowOff>
    </xdr:to>
    <xdr:sp macro="" textlink="">
      <xdr:nvSpPr>
        <xdr:cNvPr id="2" name="textruta 1"/>
        <xdr:cNvSpPr txBox="1"/>
      </xdr:nvSpPr>
      <xdr:spPr>
        <a:xfrm>
          <a:off x="657226" y="3095625"/>
          <a:ext cx="6019800" cy="32004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u="sng"/>
            <a:t>Lönsamhetsmåtten</a:t>
          </a:r>
        </a:p>
        <a:p>
          <a:endParaRPr lang="en-GB" sz="1100"/>
        </a:p>
        <a:p>
          <a:r>
            <a:rPr lang="en-GB" sz="1100" u="sng"/>
            <a:t>Internränta</a:t>
          </a:r>
          <a:r>
            <a:rPr lang="en-GB" sz="1100" u="none"/>
            <a:t>: </a:t>
          </a:r>
          <a:r>
            <a:rPr lang="en-GB" sz="1100"/>
            <a:t>Internräntan  är investeringens</a:t>
          </a:r>
          <a:r>
            <a:rPr lang="en-GB" sz="1100" baseline="0"/>
            <a:t> årliga avkastning.  Om denna är högre än avkastningskravet så är investeringen lönsam. </a:t>
          </a:r>
          <a:r>
            <a:rPr lang="en-GB" sz="1100"/>
            <a:t>  </a:t>
          </a:r>
        </a:p>
        <a:p>
          <a:endParaRPr lang="en-GB" sz="1100"/>
        </a:p>
        <a:p>
          <a:r>
            <a:rPr lang="en-GB" sz="1100" u="sng"/>
            <a:t>Besparingskostnad</a:t>
          </a:r>
          <a:r>
            <a:rPr lang="en-GB" sz="1100"/>
            <a:t>:</a:t>
          </a:r>
          <a:r>
            <a:rPr lang="en-GB" sz="1100" baseline="0"/>
            <a:t> Besparingskostnaden visar vad det kostar att spara energin. Om det kostar mer att köpa energin än att spara den så är investeringen lönsam.</a:t>
          </a:r>
        </a:p>
        <a:p>
          <a:endParaRPr lang="en-GB" sz="1100" baseline="0"/>
        </a:p>
        <a:p>
          <a:r>
            <a:rPr lang="en-GB" sz="1100" u="sng" baseline="0"/>
            <a:t>Pay-off</a:t>
          </a:r>
          <a:r>
            <a:rPr lang="en-GB" sz="1100" baseline="0"/>
            <a:t>: Pay-offtiden  är ett mått på hur lång tid det tar att spara ihop samma summa som investeringen kostade. Om Pay-offtiden är kortare än livslängden så är investeringen lönsam. </a:t>
          </a:r>
        </a:p>
        <a:p>
          <a:endParaRPr lang="en-GB" sz="1100" baseline="0"/>
        </a:p>
        <a:p>
          <a:r>
            <a:rPr lang="en-GB" sz="1100" i="1" baseline="0"/>
            <a:t>Varför ger olika lönsamhetsmått olika resultat?</a:t>
          </a:r>
        </a:p>
        <a:p>
          <a:r>
            <a:rPr lang="en-GB" sz="1100" baseline="0"/>
            <a:t>Det beror på att olika mått tar hänsyn till olika saker,</a:t>
          </a:r>
        </a:p>
        <a:p>
          <a:r>
            <a:rPr lang="en-GB" sz="1100" baseline="0"/>
            <a:t>Payoffmetoden tar inte hänsyn till att det är mindre värt att få en summa i framtiden än att få samma summa idag. Men den tar heller inte hänsyn till att energipriserna stiger.  Energiprisökningen tar heller inte besparingskostnadsmetoden hänsyn till. </a:t>
          </a:r>
          <a:endParaRPr lang="en-GB" sz="1100"/>
        </a:p>
      </xdr:txBody>
    </xdr:sp>
    <xdr:clientData/>
  </xdr:twoCellAnchor>
  <xdr:twoCellAnchor>
    <xdr:from>
      <xdr:col>1</xdr:col>
      <xdr:colOff>47624</xdr:colOff>
      <xdr:row>8</xdr:row>
      <xdr:rowOff>85725</xdr:rowOff>
    </xdr:from>
    <xdr:to>
      <xdr:col>21</xdr:col>
      <xdr:colOff>200024</xdr:colOff>
      <xdr:row>23</xdr:row>
      <xdr:rowOff>0</xdr:rowOff>
    </xdr:to>
    <xdr:sp macro="" textlink="">
      <xdr:nvSpPr>
        <xdr:cNvPr id="3" name="textruta 2"/>
        <xdr:cNvSpPr txBox="1"/>
      </xdr:nvSpPr>
      <xdr:spPr>
        <a:xfrm>
          <a:off x="657224" y="276225"/>
          <a:ext cx="13058775" cy="2771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u="sng"/>
            <a:t>Vikigt</a:t>
          </a:r>
          <a:r>
            <a:rPr lang="en-GB" sz="1100" b="1" u="sng" baseline="0"/>
            <a:t> att veta</a:t>
          </a:r>
          <a:endParaRPr lang="en-GB" sz="1100" b="1" u="sng"/>
        </a:p>
        <a:p>
          <a:endParaRPr lang="en-GB" sz="1100"/>
        </a:p>
        <a:p>
          <a:r>
            <a:rPr lang="en-GB" sz="1100"/>
            <a:t>- Solinstrålningsparametrar är generella för sverige. På platser med mindre sol kan resultatet därmed vara överskattat. </a:t>
          </a:r>
        </a:p>
        <a:p>
          <a:r>
            <a:rPr lang="en-GB" sz="1100"/>
            <a:t>- Internräntan tar hänsyn till reala energiprisökningar (2 %/år).</a:t>
          </a:r>
        </a:p>
        <a:p>
          <a:r>
            <a:rPr lang="en-GB" sz="1100"/>
            <a:t>- Säsongsvariationer av solinstrålning har antagits för en yta i Göteborg med lutningen 45 grader. Vertikala ytor har mindre säsongsvariationer och horisontella större säsongsvariationer.</a:t>
          </a:r>
        </a:p>
        <a:p>
          <a:r>
            <a:rPr lang="en-GB" sz="1100"/>
            <a:t>- April-september räknas som sommar</a:t>
          </a:r>
        </a:p>
        <a:p>
          <a:r>
            <a:rPr lang="en-GB" sz="1100"/>
            <a:t>- Väljer man att inte sälja överskottsvärme så används den bara till tappvarmvattenuppvärmning</a:t>
          </a:r>
        </a:p>
        <a:p>
          <a:r>
            <a:rPr lang="en-GB" sz="1100"/>
            <a:t>- Årlig underhållskostnad är 1 % av investeringen för solvärme och 0,75 % för solel, livslängden för bägge systemen är 25 år.</a:t>
          </a:r>
        </a:p>
        <a:p>
          <a:r>
            <a:rPr lang="en-GB" sz="1100"/>
            <a:t>- För platta tak används stativ. Detta innebär att solfångar</a:t>
          </a:r>
          <a:r>
            <a:rPr lang="en-GB" sz="1100" baseline="0"/>
            <a:t>- eller solcellspanelytan blir 50 % mindre än takytan men med verkningsgrad motsvarande 45 graders lutning</a:t>
          </a:r>
          <a:r>
            <a:rPr lang="en-GB" sz="1100"/>
            <a:t>. Kostnad per solfångar-/solcellspanelsyta är oförändrad.</a:t>
          </a:r>
        </a:p>
        <a:p>
          <a:r>
            <a:rPr lang="en-GB" sz="1100"/>
            <a:t>- Väljer man att bli nettoelproducent tas hänsyn till en årlig avgift för detta.</a:t>
          </a:r>
        </a:p>
        <a:p>
          <a:r>
            <a:rPr lang="en-GB" sz="1100"/>
            <a:t>- Vid beräkning av besparingskostnad har en kalkylränta på 4 % används.</a:t>
          </a:r>
        </a:p>
      </xdr:txBody>
    </xdr:sp>
    <xdr:clientData/>
  </xdr:twoCellAnchor>
  <xdr:twoCellAnchor>
    <xdr:from>
      <xdr:col>11</xdr:col>
      <xdr:colOff>19050</xdr:colOff>
      <xdr:row>23</xdr:row>
      <xdr:rowOff>57150</xdr:rowOff>
    </xdr:from>
    <xdr:to>
      <xdr:col>21</xdr:col>
      <xdr:colOff>200026</xdr:colOff>
      <xdr:row>40</xdr:row>
      <xdr:rowOff>9525</xdr:rowOff>
    </xdr:to>
    <xdr:sp macro="" textlink="">
      <xdr:nvSpPr>
        <xdr:cNvPr id="4" name="textruta 3"/>
        <xdr:cNvSpPr txBox="1"/>
      </xdr:nvSpPr>
      <xdr:spPr>
        <a:xfrm>
          <a:off x="6724650" y="3105150"/>
          <a:ext cx="6991351" cy="3190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u="sng">
              <a:solidFill>
                <a:schemeClr val="dk1"/>
              </a:solidFill>
              <a:latin typeface="+mn-lt"/>
              <a:ea typeface="+mn-ea"/>
              <a:cs typeface="+mn-cs"/>
            </a:rPr>
            <a:t>Mindre viktigt att veta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- I de fall det finns mer tillgängliga ytor än vad som behövs så väljer verktyget de ytor som ger mest energiutbyte per kvadratmeter. </a:t>
          </a:r>
          <a:endParaRPr lang="en-GB"/>
        </a:p>
        <a:p>
          <a:r>
            <a:rPr lang="en-GB" sz="1100"/>
            <a:t>- Verktyget optimerar inte med avseende på lönsamhet. Ex. kan man uppnå högre lönsamhet genom att utesluta mindre fördelaktiga ytor och därmed göra en mindre investering med bättre avkastning. </a:t>
          </a:r>
        </a:p>
        <a:p>
          <a:r>
            <a:rPr lang="en-GB" sz="1100"/>
            <a:t>- Säsongsvariationer av tappvarmvatten- och värmebehov antas vara som ett typiskt flerbostads hus. Fastighetelbehovet antas vara konstant. </a:t>
          </a:r>
        </a:p>
        <a:p>
          <a:r>
            <a:rPr lang="en-GB" sz="1100"/>
            <a:t>- För solel- och solvärmeutbyte har samma säsongsvariationer använts. I verkligheten är variationerna något större för solvärme och något mindre för solel. </a:t>
          </a:r>
        </a:p>
        <a:p>
          <a:r>
            <a:rPr lang="en-GB" sz="1100"/>
            <a:t>- Skicka frågor, buggar och synpunkter till peter.filipsson@cit.chalmers.se</a:t>
          </a:r>
        </a:p>
        <a:p>
          <a:endParaRPr lang="en-GB" sz="1100"/>
        </a:p>
      </xdr:txBody>
    </xdr:sp>
    <xdr:clientData/>
  </xdr:twoCellAnchor>
  <xdr:twoCellAnchor editAs="oneCell">
    <xdr:from>
      <xdr:col>1</xdr:col>
      <xdr:colOff>19050</xdr:colOff>
      <xdr:row>1</xdr:row>
      <xdr:rowOff>133350</xdr:rowOff>
    </xdr:from>
    <xdr:to>
      <xdr:col>6</xdr:col>
      <xdr:colOff>66674</xdr:colOff>
      <xdr:row>6</xdr:row>
      <xdr:rowOff>12454</xdr:rowOff>
    </xdr:to>
    <xdr:pic>
      <xdr:nvPicPr>
        <xdr:cNvPr id="5" name="Bildobjekt 4" descr="C:\Users\åsa\Pictures\bebo_logo_medium_color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323850"/>
          <a:ext cx="3095624" cy="8316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tabSelected="1" zoomScale="80" zoomScaleNormal="80" workbookViewId="0">
      <selection activeCell="B64" sqref="B64"/>
    </sheetView>
  </sheetViews>
  <sheetFormatPr defaultRowHeight="15" x14ac:dyDescent="0.25"/>
  <cols>
    <col min="1" max="1" width="3.28515625" style="9" customWidth="1"/>
    <col min="2" max="2" width="48.28515625" style="16" customWidth="1"/>
    <col min="3" max="3" width="30.28515625" style="16" customWidth="1"/>
    <col min="4" max="4" width="25.7109375" style="16" customWidth="1"/>
    <col min="5" max="5" width="19" style="9" customWidth="1"/>
    <col min="6" max="6" width="20.28515625" style="9" bestFit="1" customWidth="1"/>
    <col min="7" max="7" width="35.42578125" style="9" customWidth="1"/>
    <col min="8" max="8" width="84.140625" style="9" customWidth="1"/>
    <col min="9" max="9" width="19.85546875" style="9" customWidth="1"/>
    <col min="10" max="10" width="46.7109375" style="9" customWidth="1"/>
    <col min="11" max="11" width="34.85546875" style="9" customWidth="1"/>
    <col min="12" max="12" width="16.7109375" style="9" customWidth="1"/>
    <col min="13" max="13" width="15.42578125" style="9" customWidth="1"/>
    <col min="14" max="14" width="13.28515625" style="9" customWidth="1"/>
    <col min="15" max="17" width="9.140625" style="9"/>
    <col min="18" max="18" width="9.140625" style="16" customWidth="1"/>
    <col min="19" max="19" width="91.42578125" style="16" bestFit="1" customWidth="1"/>
    <col min="20" max="16384" width="9.140625" style="16"/>
  </cols>
  <sheetData>
    <row r="1" spans="1:28" x14ac:dyDescent="0.25">
      <c r="A1" s="76"/>
      <c r="B1" s="84"/>
      <c r="C1" s="84"/>
      <c r="D1" s="84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84"/>
      <c r="S1" s="84"/>
      <c r="T1" s="84"/>
      <c r="U1" s="84"/>
      <c r="V1" s="84"/>
      <c r="W1" s="84"/>
      <c r="X1" s="84"/>
    </row>
    <row r="2" spans="1:28" s="9" customFormat="1" ht="27" customHeight="1" x14ac:dyDescent="0.45">
      <c r="A2" s="52"/>
      <c r="B2" s="88" t="s">
        <v>87</v>
      </c>
      <c r="C2" s="52"/>
      <c r="D2" s="52"/>
      <c r="E2" s="52"/>
      <c r="F2"/>
      <c r="G2" s="52"/>
      <c r="H2" s="52"/>
      <c r="I2" s="52"/>
      <c r="J2" s="52"/>
      <c r="K2" s="52"/>
      <c r="L2" s="52"/>
      <c r="M2" s="52"/>
      <c r="N2" s="59"/>
      <c r="O2" s="59"/>
      <c r="P2" s="62"/>
      <c r="Q2" s="52"/>
      <c r="R2" s="52"/>
      <c r="S2" s="51"/>
      <c r="T2" s="52"/>
      <c r="U2" s="52"/>
      <c r="V2" s="52"/>
      <c r="W2" s="52"/>
      <c r="X2" s="52"/>
      <c r="Y2" s="52"/>
      <c r="Z2" s="52"/>
      <c r="AA2" s="52"/>
      <c r="AB2" s="52"/>
    </row>
    <row r="3" spans="1:28" s="9" customFormat="1" ht="3.7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9"/>
      <c r="O3" s="59"/>
      <c r="P3" s="59"/>
      <c r="Q3" s="52"/>
      <c r="R3" s="52"/>
      <c r="S3" s="51"/>
      <c r="T3" s="52"/>
      <c r="U3" s="52"/>
      <c r="V3" s="52"/>
      <c r="W3" s="52"/>
      <c r="X3" s="52"/>
      <c r="Y3" s="52"/>
      <c r="Z3" s="52"/>
      <c r="AA3" s="52"/>
      <c r="AB3" s="52"/>
    </row>
    <row r="4" spans="1:28" s="9" customFormat="1" ht="18.75" customHeight="1" thickBot="1" x14ac:dyDescent="0.35">
      <c r="A4" s="52"/>
      <c r="B4" s="85" t="s">
        <v>104</v>
      </c>
      <c r="C4" s="56" t="s">
        <v>84</v>
      </c>
      <c r="D4" s="56" t="s">
        <v>85</v>
      </c>
      <c r="E4" s="52"/>
      <c r="F4" s="52"/>
      <c r="G4" s="52"/>
      <c r="H4" s="52"/>
      <c r="I4" s="52"/>
      <c r="J4" s="52"/>
      <c r="K4" s="59"/>
      <c r="L4" s="59"/>
      <c r="M4" s="59"/>
      <c r="N4" s="59"/>
      <c r="O4" s="59"/>
      <c r="P4" s="59"/>
      <c r="Q4" s="52"/>
      <c r="R4" s="52"/>
      <c r="S4" s="51"/>
      <c r="T4" s="52"/>
      <c r="U4" s="52"/>
      <c r="V4" s="52"/>
      <c r="W4" s="52"/>
      <c r="X4" s="52"/>
      <c r="Y4" s="52"/>
      <c r="Z4" s="52"/>
      <c r="AA4" s="52"/>
      <c r="AB4" s="52"/>
    </row>
    <row r="5" spans="1:28" x14ac:dyDescent="0.25">
      <c r="A5" s="52"/>
      <c r="B5" s="61" t="s">
        <v>48</v>
      </c>
      <c r="C5" s="101">
        <v>1</v>
      </c>
      <c r="D5" s="102">
        <v>0.8</v>
      </c>
      <c r="E5" s="52"/>
      <c r="F5" s="82"/>
      <c r="G5" s="73"/>
      <c r="H5" s="74"/>
      <c r="I5" s="52"/>
      <c r="J5" s="52"/>
      <c r="K5" s="59"/>
      <c r="L5" s="59"/>
      <c r="M5" s="59"/>
      <c r="N5" s="59"/>
      <c r="O5" s="59"/>
      <c r="P5" s="59"/>
      <c r="Q5" s="52"/>
      <c r="R5" s="63"/>
      <c r="S5" s="64"/>
      <c r="T5" s="63"/>
      <c r="U5" s="63"/>
      <c r="V5" s="63"/>
      <c r="W5" s="63"/>
      <c r="X5" s="63"/>
      <c r="Y5" s="63"/>
      <c r="Z5" s="63"/>
      <c r="AA5" s="63"/>
      <c r="AB5" s="63"/>
    </row>
    <row r="6" spans="1:28" x14ac:dyDescent="0.25">
      <c r="A6" s="52"/>
      <c r="B6" s="57" t="s">
        <v>49</v>
      </c>
      <c r="C6" s="103">
        <v>1</v>
      </c>
      <c r="D6" s="104">
        <v>0.8</v>
      </c>
      <c r="E6" s="52"/>
      <c r="F6" s="83"/>
      <c r="G6" s="75"/>
      <c r="H6" s="77"/>
      <c r="I6" s="52"/>
      <c r="J6" s="52"/>
      <c r="K6" s="59"/>
      <c r="L6" s="59"/>
      <c r="M6" s="59"/>
      <c r="N6" s="59"/>
      <c r="O6" s="59"/>
      <c r="P6" s="59"/>
      <c r="Q6" s="52"/>
      <c r="R6" s="63"/>
      <c r="S6" s="64"/>
      <c r="T6" s="63"/>
      <c r="U6" s="63"/>
      <c r="V6" s="63"/>
      <c r="W6" s="63"/>
      <c r="X6" s="63"/>
      <c r="Y6" s="63"/>
      <c r="Z6" s="63"/>
      <c r="AA6" s="63"/>
      <c r="AB6" s="63"/>
    </row>
    <row r="7" spans="1:28" x14ac:dyDescent="0.25">
      <c r="A7" s="52"/>
      <c r="B7" s="57" t="s">
        <v>42</v>
      </c>
      <c r="C7" s="103">
        <v>1.2</v>
      </c>
      <c r="D7" s="104">
        <v>1.2</v>
      </c>
      <c r="E7" s="52"/>
      <c r="F7" s="76"/>
      <c r="G7" s="78"/>
      <c r="H7" s="79"/>
      <c r="I7" s="52"/>
      <c r="J7" s="52"/>
      <c r="K7" s="59"/>
      <c r="L7" s="59"/>
      <c r="M7" s="59"/>
      <c r="N7" s="59"/>
      <c r="O7" s="59"/>
      <c r="P7" s="59"/>
      <c r="Q7" s="52"/>
      <c r="R7" s="63"/>
      <c r="S7" s="64"/>
      <c r="T7" s="63"/>
      <c r="U7" s="63"/>
      <c r="V7" s="63"/>
      <c r="W7" s="63"/>
      <c r="X7" s="63"/>
      <c r="Y7" s="63"/>
      <c r="Z7" s="63"/>
      <c r="AA7" s="63"/>
      <c r="AB7" s="63"/>
    </row>
    <row r="8" spans="1:28" ht="15.75" thickBot="1" x14ac:dyDescent="0.3">
      <c r="A8" s="52"/>
      <c r="B8" s="60" t="s">
        <v>43</v>
      </c>
      <c r="C8" s="105">
        <v>1.2</v>
      </c>
      <c r="D8" s="106">
        <v>1.2</v>
      </c>
      <c r="E8" s="52"/>
      <c r="F8" s="52"/>
      <c r="G8" s="52"/>
      <c r="H8" s="52"/>
      <c r="I8" s="52"/>
      <c r="J8" s="52"/>
      <c r="K8" s="59"/>
      <c r="L8" s="59"/>
      <c r="M8" s="59"/>
      <c r="N8" s="59"/>
      <c r="O8" s="59"/>
      <c r="P8" s="59"/>
      <c r="Q8" s="52"/>
      <c r="R8" s="63"/>
      <c r="S8" s="64"/>
      <c r="T8" s="63" t="s">
        <v>9</v>
      </c>
      <c r="U8" s="63"/>
      <c r="V8" s="63"/>
      <c r="W8" s="63"/>
      <c r="X8" s="63"/>
      <c r="Y8" s="63"/>
      <c r="Z8" s="63"/>
      <c r="AA8" s="63"/>
      <c r="AB8" s="63"/>
    </row>
    <row r="9" spans="1:28" s="9" customFormat="1" ht="18.75" customHeight="1" thickBot="1" x14ac:dyDescent="0.35">
      <c r="A9" s="52"/>
      <c r="B9" s="86" t="s">
        <v>86</v>
      </c>
      <c r="C9" s="58"/>
      <c r="D9" s="59"/>
      <c r="E9" s="52"/>
      <c r="F9" s="52"/>
      <c r="G9" s="52"/>
      <c r="H9" s="52"/>
      <c r="I9" s="52"/>
      <c r="J9" s="52"/>
      <c r="K9" s="59"/>
      <c r="L9" s="59"/>
      <c r="M9" s="59"/>
      <c r="N9" s="59"/>
      <c r="O9" s="59"/>
      <c r="P9" s="59"/>
      <c r="Q9" s="52"/>
      <c r="R9" s="52"/>
      <c r="S9" s="51"/>
      <c r="T9" s="52" t="s">
        <v>9</v>
      </c>
      <c r="U9" s="52"/>
      <c r="V9" s="52"/>
      <c r="W9" s="52"/>
      <c r="X9" s="52"/>
      <c r="Y9" s="52"/>
      <c r="Z9" s="52"/>
      <c r="AA9" s="52"/>
      <c r="AB9" s="52"/>
    </row>
    <row r="10" spans="1:28" x14ac:dyDescent="0.25">
      <c r="A10" s="52"/>
      <c r="B10" s="57" t="s">
        <v>47</v>
      </c>
      <c r="C10" s="99" t="s">
        <v>78</v>
      </c>
      <c r="D10" s="57"/>
      <c r="E10" s="52"/>
      <c r="F10" s="80"/>
      <c r="G10" s="59"/>
      <c r="H10" s="59"/>
      <c r="I10" s="52"/>
      <c r="J10" s="52"/>
      <c r="K10" s="59"/>
      <c r="L10" s="59"/>
      <c r="M10" s="59"/>
      <c r="N10" s="59"/>
      <c r="O10" s="59"/>
      <c r="P10" s="59"/>
      <c r="Q10" s="52"/>
      <c r="R10" s="63"/>
      <c r="S10" s="64"/>
      <c r="T10" s="63" t="s">
        <v>9</v>
      </c>
      <c r="U10" s="63"/>
      <c r="V10" s="63"/>
      <c r="W10" s="63"/>
      <c r="X10" s="63"/>
      <c r="Y10" s="63"/>
      <c r="Z10" s="63"/>
      <c r="AA10" s="63"/>
      <c r="AB10" s="63"/>
    </row>
    <row r="11" spans="1:28" ht="15.75" thickBot="1" x14ac:dyDescent="0.3">
      <c r="A11" s="52"/>
      <c r="B11" s="60" t="s">
        <v>18</v>
      </c>
      <c r="C11" s="100" t="s">
        <v>78</v>
      </c>
      <c r="D11" s="57"/>
      <c r="E11" s="52"/>
      <c r="F11" s="81"/>
      <c r="G11" s="59"/>
      <c r="H11" s="59"/>
      <c r="I11" s="52"/>
      <c r="J11" s="52"/>
      <c r="K11" s="59"/>
      <c r="L11" s="59"/>
      <c r="M11" s="59"/>
      <c r="N11" s="59"/>
      <c r="O11" s="59"/>
      <c r="P11" s="59"/>
      <c r="Q11" s="52"/>
      <c r="R11" s="63"/>
      <c r="S11" s="64"/>
      <c r="T11" s="63"/>
      <c r="U11" s="63"/>
      <c r="V11" s="63"/>
      <c r="W11" s="63"/>
      <c r="X11" s="63"/>
      <c r="Y11" s="63"/>
      <c r="Z11" s="63"/>
      <c r="AA11" s="63"/>
      <c r="AB11" s="63"/>
    </row>
    <row r="12" spans="1:28" s="9" customFormat="1" ht="19.5" customHeight="1" thickBot="1" x14ac:dyDescent="0.35">
      <c r="A12" s="52"/>
      <c r="B12" s="86" t="s">
        <v>10</v>
      </c>
      <c r="C12" s="58"/>
      <c r="D12" s="52"/>
      <c r="E12" s="72"/>
      <c r="F12" s="59"/>
      <c r="G12" s="59"/>
      <c r="H12" s="59"/>
      <c r="I12" s="72"/>
      <c r="J12" s="72"/>
      <c r="K12" s="59"/>
      <c r="L12" s="59"/>
      <c r="M12" s="59"/>
      <c r="N12" s="52"/>
      <c r="O12" s="52"/>
      <c r="P12" s="52"/>
      <c r="Q12" s="52"/>
      <c r="R12" s="52"/>
      <c r="S12" s="51"/>
      <c r="T12" s="52" t="s">
        <v>9</v>
      </c>
      <c r="U12" s="52"/>
      <c r="V12" s="52"/>
      <c r="W12" s="52"/>
      <c r="X12" s="52"/>
      <c r="Y12" s="52"/>
      <c r="Z12" s="52"/>
      <c r="AA12" s="52"/>
      <c r="AB12" s="52"/>
    </row>
    <row r="13" spans="1:28" x14ac:dyDescent="0.25">
      <c r="A13" s="52"/>
      <c r="B13" s="57" t="s">
        <v>70</v>
      </c>
      <c r="C13" s="94">
        <v>500</v>
      </c>
      <c r="D13" s="52"/>
      <c r="E13" s="72"/>
      <c r="F13" s="72"/>
      <c r="G13" s="72"/>
      <c r="H13" s="72"/>
      <c r="I13" s="72"/>
      <c r="J13" s="72"/>
      <c r="K13" s="59"/>
      <c r="L13" s="59"/>
      <c r="M13" s="59"/>
      <c r="N13" s="52"/>
      <c r="O13" s="52"/>
      <c r="P13" s="52"/>
      <c r="Q13" s="52"/>
      <c r="R13" s="63"/>
      <c r="S13" s="64"/>
      <c r="T13" s="63" t="s">
        <v>9</v>
      </c>
      <c r="U13" s="63"/>
      <c r="V13" s="63"/>
      <c r="W13" s="63"/>
      <c r="X13" s="63"/>
      <c r="Y13" s="63"/>
      <c r="Z13" s="63"/>
      <c r="AA13" s="63"/>
      <c r="AB13" s="63"/>
    </row>
    <row r="14" spans="1:28" x14ac:dyDescent="0.25">
      <c r="A14" s="52"/>
      <c r="B14" s="57" t="s">
        <v>71</v>
      </c>
      <c r="C14" s="94">
        <v>1400</v>
      </c>
      <c r="D14" s="52"/>
      <c r="E14" s="72"/>
      <c r="F14" s="72"/>
      <c r="G14" s="72"/>
      <c r="H14" s="72"/>
      <c r="I14" s="72"/>
      <c r="J14" s="72"/>
      <c r="K14" s="52"/>
      <c r="L14" s="52"/>
      <c r="M14" s="52"/>
      <c r="N14" s="52"/>
      <c r="O14" s="52"/>
      <c r="P14" s="52"/>
      <c r="Q14" s="52"/>
      <c r="R14" s="63"/>
      <c r="S14" s="64"/>
      <c r="T14" s="63"/>
      <c r="U14" s="63"/>
      <c r="V14" s="63"/>
      <c r="W14" s="63"/>
      <c r="X14" s="63"/>
      <c r="Y14" s="63"/>
      <c r="Z14" s="63"/>
      <c r="AA14" s="63"/>
      <c r="AB14" s="63"/>
    </row>
    <row r="15" spans="1:28" ht="15.75" thickBot="1" x14ac:dyDescent="0.3">
      <c r="A15" s="52"/>
      <c r="B15" s="60" t="s">
        <v>72</v>
      </c>
      <c r="C15" s="98">
        <v>100</v>
      </c>
      <c r="D15" s="52"/>
      <c r="E15" s="72"/>
      <c r="F15" s="72"/>
      <c r="G15" s="72"/>
      <c r="H15" s="72"/>
      <c r="I15" s="72"/>
      <c r="J15" s="72"/>
      <c r="K15" s="52"/>
      <c r="L15" s="52"/>
      <c r="M15" s="52"/>
      <c r="N15" s="52"/>
      <c r="O15" s="52"/>
      <c r="P15" s="52"/>
      <c r="Q15" s="52"/>
      <c r="R15" s="63"/>
      <c r="S15" s="64"/>
      <c r="T15" s="63"/>
      <c r="U15" s="63"/>
      <c r="V15" s="63"/>
      <c r="W15" s="63"/>
      <c r="X15" s="63"/>
      <c r="Y15" s="63"/>
      <c r="Z15" s="63"/>
      <c r="AA15" s="63"/>
      <c r="AB15" s="63"/>
    </row>
    <row r="16" spans="1:28" s="9" customFormat="1" ht="19.5" customHeight="1" thickBot="1" x14ac:dyDescent="0.35">
      <c r="A16" s="52"/>
      <c r="B16" s="87" t="s">
        <v>36</v>
      </c>
      <c r="C16" s="52"/>
      <c r="D16" s="52"/>
      <c r="E16" s="47"/>
      <c r="F16" s="47"/>
      <c r="G16" s="47"/>
      <c r="H16" s="47"/>
      <c r="I16" s="47"/>
      <c r="J16" s="47"/>
      <c r="K16" s="52"/>
      <c r="L16" s="52"/>
      <c r="M16" s="52"/>
      <c r="N16" s="52"/>
      <c r="O16" s="52"/>
      <c r="P16" s="52"/>
      <c r="Q16" s="52"/>
      <c r="R16" s="52"/>
      <c r="S16" s="51"/>
      <c r="T16" s="52"/>
      <c r="U16" s="52"/>
      <c r="V16" s="52"/>
      <c r="W16" s="52"/>
      <c r="X16" s="52"/>
      <c r="Y16" s="52"/>
      <c r="Z16" s="52"/>
      <c r="AA16" s="52"/>
      <c r="AB16" s="52"/>
    </row>
    <row r="17" spans="1:28" s="9" customFormat="1" ht="32.25" customHeight="1" x14ac:dyDescent="0.25">
      <c r="A17" s="56"/>
      <c r="B17" s="89" t="s">
        <v>35</v>
      </c>
      <c r="C17" s="90" t="s">
        <v>114</v>
      </c>
      <c r="D17" s="91" t="s">
        <v>113</v>
      </c>
      <c r="E17" s="47"/>
      <c r="F17" s="50" t="s">
        <v>44</v>
      </c>
      <c r="G17" s="50" t="s">
        <v>37</v>
      </c>
      <c r="H17" s="50" t="s">
        <v>38</v>
      </c>
      <c r="I17" s="50" t="s">
        <v>56</v>
      </c>
      <c r="J17" s="47"/>
      <c r="K17" s="47"/>
      <c r="L17" s="52"/>
      <c r="M17" s="52"/>
      <c r="N17" s="52"/>
      <c r="O17" s="52"/>
      <c r="P17" s="52"/>
      <c r="Q17" s="52"/>
      <c r="R17" s="52"/>
      <c r="S17" s="51"/>
      <c r="T17" s="52"/>
      <c r="U17" s="52"/>
      <c r="V17" s="52"/>
      <c r="W17" s="52"/>
      <c r="X17" s="52"/>
      <c r="Y17" s="52"/>
      <c r="Z17" s="52"/>
      <c r="AA17" s="52"/>
      <c r="AB17" s="52"/>
    </row>
    <row r="18" spans="1:28" x14ac:dyDescent="0.25">
      <c r="A18" s="56">
        <v>1</v>
      </c>
      <c r="B18" s="92">
        <v>500</v>
      </c>
      <c r="C18" s="93">
        <v>45</v>
      </c>
      <c r="D18" s="94">
        <v>90</v>
      </c>
      <c r="E18" s="48">
        <f ca="1">COUNTIF(I18:I22,"&gt;"&amp;I18)</f>
        <v>3</v>
      </c>
      <c r="F18" s="49">
        <f>IF(C18=0,B18/2,B18)</f>
        <v>500</v>
      </c>
      <c r="G18" s="45">
        <f>F18*Komponentparametrar!C$4*Vinklar!R7/1000</f>
        <v>154</v>
      </c>
      <c r="H18" s="45">
        <f>F18*Komponentparametrar!F$5*Komponentparametrar!F$4*Vinklar!R7/1000</f>
        <v>45.045000000000002</v>
      </c>
      <c r="I18" s="46">
        <f ca="1">Vinklar!R7-RAND()/1000</f>
        <v>0.76946580636396811</v>
      </c>
      <c r="J18" s="47"/>
      <c r="K18" s="47"/>
      <c r="L18" s="52"/>
      <c r="M18" s="52"/>
      <c r="N18" s="52"/>
      <c r="O18" s="52"/>
      <c r="P18" s="52"/>
      <c r="Q18" s="52"/>
      <c r="R18" s="63"/>
      <c r="S18" s="64"/>
      <c r="T18" s="63"/>
      <c r="U18" s="63"/>
      <c r="V18" s="63"/>
      <c r="W18" s="63"/>
      <c r="X18" s="63"/>
      <c r="Y18" s="63"/>
      <c r="Z18" s="63"/>
      <c r="AA18" s="63"/>
      <c r="AB18" s="63"/>
    </row>
    <row r="19" spans="1:28" x14ac:dyDescent="0.25">
      <c r="A19" s="56">
        <v>2</v>
      </c>
      <c r="B19" s="92">
        <v>500</v>
      </c>
      <c r="C19" s="95">
        <v>30</v>
      </c>
      <c r="D19" s="94">
        <v>45</v>
      </c>
      <c r="E19" s="48">
        <f ca="1">COUNTIF(I18:I22,"&gt;"&amp;I19)</f>
        <v>2</v>
      </c>
      <c r="F19" s="49">
        <f>IF(C19=0,B19/2,B19)</f>
        <v>500</v>
      </c>
      <c r="G19" s="45">
        <f>F19*Komponentparametrar!C$4*Vinklar!R8/1000</f>
        <v>188</v>
      </c>
      <c r="H19" s="45">
        <f>F19*Komponentparametrar!F$5*Komponentparametrar!F$4*Vinklar!R8/1000</f>
        <v>54.99</v>
      </c>
      <c r="I19" s="46">
        <f ca="1">Vinklar!R8-RAND()/1000</f>
        <v>0.93951627290721307</v>
      </c>
      <c r="J19" s="47"/>
      <c r="K19" s="47"/>
      <c r="L19" s="52"/>
      <c r="M19" s="52"/>
      <c r="N19" s="52"/>
      <c r="O19" s="52"/>
      <c r="P19" s="52"/>
      <c r="Q19" s="52"/>
      <c r="R19" s="63"/>
      <c r="S19" s="64"/>
      <c r="T19" s="63"/>
      <c r="U19" s="63"/>
      <c r="V19" s="63"/>
      <c r="W19" s="63"/>
      <c r="X19" s="63"/>
      <c r="Y19" s="63"/>
      <c r="Z19" s="63"/>
      <c r="AA19" s="63"/>
      <c r="AB19" s="63"/>
    </row>
    <row r="20" spans="1:28" x14ac:dyDescent="0.25">
      <c r="A20" s="56">
        <v>3</v>
      </c>
      <c r="B20" s="92">
        <v>45</v>
      </c>
      <c r="C20" s="93">
        <v>90</v>
      </c>
      <c r="D20" s="94">
        <v>0</v>
      </c>
      <c r="E20" s="48">
        <f ca="1">COUNTIF(I18:I22,"&gt;"&amp;I20)</f>
        <v>4</v>
      </c>
      <c r="F20" s="49">
        <f>IF(C20=0,B20/2,B20)</f>
        <v>45</v>
      </c>
      <c r="G20" s="45">
        <f>F20*Komponentparametrar!C$4*Vinklar!R9/1000</f>
        <v>13.5</v>
      </c>
      <c r="H20" s="45">
        <f>F20*Komponentparametrar!F$5*Komponentparametrar!F$4*Vinklar!R9/1000</f>
        <v>3.94875</v>
      </c>
      <c r="I20" s="46">
        <f ca="1">Vinklar!R9-RAND()/1000</f>
        <v>0.74905769118782939</v>
      </c>
      <c r="J20" s="47"/>
      <c r="K20" s="47"/>
      <c r="L20" s="52"/>
      <c r="M20" s="52"/>
      <c r="N20" s="52"/>
      <c r="O20" s="52"/>
      <c r="P20" s="52"/>
      <c r="Q20" s="52"/>
      <c r="R20" s="63"/>
      <c r="S20" s="64"/>
      <c r="T20" s="63"/>
      <c r="U20" s="63"/>
      <c r="V20" s="63"/>
      <c r="W20" s="63"/>
      <c r="X20" s="63"/>
      <c r="Y20" s="63"/>
      <c r="Z20" s="63"/>
      <c r="AA20" s="63"/>
      <c r="AB20" s="63"/>
    </row>
    <row r="21" spans="1:28" x14ac:dyDescent="0.25">
      <c r="A21" s="56">
        <v>4</v>
      </c>
      <c r="B21" s="92">
        <v>40</v>
      </c>
      <c r="C21" s="93">
        <v>30</v>
      </c>
      <c r="D21" s="94">
        <v>10</v>
      </c>
      <c r="E21" s="48">
        <f ca="1">COUNTIF(I18:I22,"&gt;"&amp;I21)</f>
        <v>1</v>
      </c>
      <c r="F21" s="49">
        <f>IF(C21=0,B21/2,B21)</f>
        <v>40</v>
      </c>
      <c r="G21" s="45">
        <f>F21*Komponentparametrar!C$4*Vinklar!R10/1000</f>
        <v>15.662222222222223</v>
      </c>
      <c r="H21" s="45">
        <f>F21*Komponentparametrar!F$5*Komponentparametrar!F$4*Vinklar!R10/1000</f>
        <v>4.5811999999999999</v>
      </c>
      <c r="I21" s="46">
        <f ca="1">Vinklar!R10-RAND()/1000</f>
        <v>0.97856745282414248</v>
      </c>
      <c r="J21" s="47"/>
      <c r="K21" s="47"/>
      <c r="L21" s="52"/>
      <c r="M21" s="52"/>
      <c r="N21" s="52"/>
      <c r="O21" s="52"/>
      <c r="P21" s="52"/>
      <c r="Q21" s="52"/>
      <c r="R21" s="63"/>
      <c r="S21" s="64"/>
      <c r="T21" s="63"/>
      <c r="U21" s="63"/>
      <c r="V21" s="63"/>
      <c r="W21" s="63"/>
      <c r="X21" s="63"/>
      <c r="Y21" s="63"/>
      <c r="Z21" s="63"/>
      <c r="AA21" s="63"/>
      <c r="AB21" s="63"/>
    </row>
    <row r="22" spans="1:28" ht="15.75" thickBot="1" x14ac:dyDescent="0.3">
      <c r="A22" s="56">
        <v>5</v>
      </c>
      <c r="B22" s="96">
        <v>100</v>
      </c>
      <c r="C22" s="97">
        <v>0</v>
      </c>
      <c r="D22" s="98">
        <v>0</v>
      </c>
      <c r="E22" s="48">
        <f ca="1">COUNTIF(I18:I22,"&gt;"&amp;I22)</f>
        <v>0</v>
      </c>
      <c r="F22" s="49">
        <f>IF(C22=0,B22/2,B22)</f>
        <v>50</v>
      </c>
      <c r="G22" s="45">
        <f>F22*Komponentparametrar!C$4*Vinklar!R11/1000</f>
        <v>20</v>
      </c>
      <c r="H22" s="45">
        <f>F22*Komponentparametrar!F$5*Komponentparametrar!F$4*Vinklar!R11/1000</f>
        <v>5.85</v>
      </c>
      <c r="I22" s="46">
        <f ca="1">Vinklar!R11-RAND()/1000</f>
        <v>0.99998849957069669</v>
      </c>
      <c r="J22" s="47"/>
      <c r="K22" s="47"/>
      <c r="L22" s="52"/>
      <c r="M22" s="52"/>
      <c r="N22" s="52"/>
      <c r="O22" s="52"/>
      <c r="P22" s="52"/>
      <c r="Q22" s="52"/>
      <c r="R22" s="63"/>
      <c r="S22" s="64"/>
      <c r="T22" s="63"/>
      <c r="U22" s="63"/>
      <c r="V22" s="63"/>
      <c r="W22" s="63"/>
      <c r="X22" s="63"/>
      <c r="Y22" s="63"/>
      <c r="Z22" s="63"/>
      <c r="AA22" s="63"/>
      <c r="AB22" s="63"/>
    </row>
    <row r="23" spans="1:28" s="9" customFormat="1" ht="7.5" customHeight="1" x14ac:dyDescent="0.25">
      <c r="A23" s="52"/>
      <c r="B23" s="52"/>
      <c r="C23" s="52"/>
      <c r="D23" s="52"/>
      <c r="E23" s="47"/>
      <c r="F23" s="47"/>
      <c r="G23" s="47"/>
      <c r="H23" s="47"/>
      <c r="I23" s="47"/>
      <c r="J23" s="47"/>
      <c r="K23" s="47"/>
      <c r="L23" s="52"/>
      <c r="M23" s="52"/>
      <c r="N23" s="52"/>
      <c r="O23" s="52"/>
      <c r="P23" s="52"/>
      <c r="Q23" s="52"/>
      <c r="R23" s="52"/>
      <c r="S23" s="51"/>
      <c r="T23" s="52"/>
      <c r="U23" s="52"/>
      <c r="V23" s="52"/>
      <c r="W23" s="52"/>
      <c r="X23" s="52"/>
      <c r="Y23" s="52"/>
      <c r="Z23" s="52"/>
      <c r="AA23" s="52"/>
      <c r="AB23" s="52"/>
    </row>
    <row r="24" spans="1:28" s="9" customFormat="1" ht="18.75" customHeight="1" thickBot="1" x14ac:dyDescent="0.4">
      <c r="A24" s="52"/>
      <c r="B24" s="54"/>
      <c r="C24" s="55" t="s">
        <v>94</v>
      </c>
      <c r="D24" s="55" t="s">
        <v>95</v>
      </c>
      <c r="E24" s="47"/>
      <c r="F24" s="47"/>
      <c r="G24" s="47"/>
      <c r="H24" s="47"/>
      <c r="I24" s="47"/>
      <c r="J24" s="47"/>
      <c r="K24" s="47"/>
      <c r="L24" s="52"/>
      <c r="M24" s="52"/>
      <c r="N24" s="52"/>
      <c r="O24" s="52"/>
      <c r="P24" s="52"/>
      <c r="Q24" s="52"/>
      <c r="R24" s="52"/>
      <c r="S24" s="51"/>
      <c r="T24" s="52"/>
      <c r="U24" s="52"/>
      <c r="V24" s="52"/>
      <c r="W24" s="52"/>
      <c r="X24" s="52"/>
      <c r="Y24" s="52"/>
      <c r="Z24" s="52"/>
      <c r="AA24" s="52"/>
      <c r="AB24" s="52"/>
    </row>
    <row r="25" spans="1:28" s="9" customFormat="1" ht="15.75" hidden="1" thickBot="1" x14ac:dyDescent="0.3">
      <c r="A25" s="52"/>
      <c r="B25" s="54" t="s">
        <v>28</v>
      </c>
      <c r="C25" s="20">
        <f>SUM(F18:F22)</f>
        <v>1135</v>
      </c>
      <c r="D25" s="19">
        <f>SUM(F18:F22)</f>
        <v>1135</v>
      </c>
      <c r="E25" s="47" t="s">
        <v>57</v>
      </c>
      <c r="F25" s="47"/>
      <c r="G25" s="47"/>
      <c r="H25" s="47"/>
      <c r="I25" s="47"/>
      <c r="J25" s="47"/>
      <c r="K25" s="47"/>
      <c r="L25" s="52"/>
      <c r="M25" s="52"/>
      <c r="N25" s="52"/>
      <c r="O25" s="52"/>
      <c r="P25" s="52"/>
      <c r="Q25" s="52"/>
      <c r="R25" s="52"/>
      <c r="S25" s="51"/>
      <c r="T25" s="52" t="s">
        <v>9</v>
      </c>
      <c r="U25" s="52"/>
      <c r="V25" s="52"/>
      <c r="W25" s="52"/>
      <c r="X25" s="52"/>
      <c r="Y25" s="52"/>
      <c r="Z25" s="52"/>
      <c r="AA25" s="52"/>
      <c r="AB25" s="52"/>
    </row>
    <row r="26" spans="1:28" s="9" customFormat="1" ht="15.75" hidden="1" thickBot="1" x14ac:dyDescent="0.3">
      <c r="A26" s="52"/>
      <c r="B26" s="54" t="s">
        <v>51</v>
      </c>
      <c r="C26" s="20">
        <f>SUM(G18:G22)</f>
        <v>391.16222222222223</v>
      </c>
      <c r="D26" s="20">
        <f>SUM(H18:H22)</f>
        <v>114.41494999999999</v>
      </c>
      <c r="E26" s="47" t="s">
        <v>58</v>
      </c>
      <c r="F26" s="47"/>
      <c r="G26" s="47"/>
      <c r="H26" s="47"/>
      <c r="I26" s="47"/>
      <c r="J26" s="47"/>
      <c r="K26" s="47"/>
      <c r="L26" s="52"/>
      <c r="M26" s="52"/>
      <c r="N26" s="52"/>
      <c r="O26" s="52"/>
      <c r="P26" s="52"/>
      <c r="Q26" s="52"/>
      <c r="R26" s="52"/>
      <c r="S26" s="51"/>
      <c r="T26" s="52" t="s">
        <v>9</v>
      </c>
      <c r="U26" s="52"/>
      <c r="V26" s="52"/>
      <c r="W26" s="52"/>
      <c r="X26" s="52"/>
      <c r="Y26" s="52"/>
      <c r="Z26" s="52"/>
      <c r="AA26" s="52"/>
      <c r="AB26" s="52"/>
    </row>
    <row r="27" spans="1:28" s="9" customFormat="1" ht="15.75" hidden="1" thickBot="1" x14ac:dyDescent="0.3">
      <c r="A27" s="52"/>
      <c r="B27" s="54" t="s">
        <v>52</v>
      </c>
      <c r="C27" s="20">
        <f>IF(C10=S55,Säsongsvariationer!Z35*C13,IF(C10=S56,C26,0))</f>
        <v>391.16222222222223</v>
      </c>
      <c r="D27" s="20">
        <f>IF(C11=S51,C15,IF(C11=S52,D26,IF(C11=S50,C15*Säsongsvariationer!Q20,0)))</f>
        <v>114.41494999999999</v>
      </c>
      <c r="E27" s="47" t="s">
        <v>59</v>
      </c>
      <c r="F27" s="47"/>
      <c r="G27" s="47"/>
      <c r="H27" s="47"/>
      <c r="I27" s="47"/>
      <c r="J27" s="47"/>
      <c r="K27" s="47"/>
      <c r="L27" s="52"/>
      <c r="M27" s="52"/>
      <c r="N27" s="52"/>
      <c r="O27" s="52"/>
      <c r="P27" s="52"/>
      <c r="Q27" s="52"/>
      <c r="R27" s="52"/>
      <c r="S27" s="52"/>
      <c r="T27" s="52" t="s">
        <v>9</v>
      </c>
      <c r="U27" s="52"/>
      <c r="V27" s="52"/>
      <c r="W27" s="52"/>
      <c r="X27" s="52"/>
      <c r="Y27" s="52"/>
      <c r="Z27" s="52"/>
      <c r="AA27" s="52"/>
      <c r="AB27" s="52"/>
    </row>
    <row r="28" spans="1:28" s="9" customFormat="1" ht="18.75" x14ac:dyDescent="0.3">
      <c r="A28" s="52"/>
      <c r="B28" s="54" t="s">
        <v>93</v>
      </c>
      <c r="C28" s="107">
        <f>MIN(C26,C27)</f>
        <v>391.16222222222223</v>
      </c>
      <c r="D28" s="108">
        <f>MIN(D26,D27)</f>
        <v>114.41494999999999</v>
      </c>
      <c r="E28" s="47" t="s">
        <v>60</v>
      </c>
      <c r="F28" s="47"/>
      <c r="G28" s="47"/>
      <c r="H28" s="47"/>
      <c r="I28" s="47"/>
      <c r="J28" s="47"/>
      <c r="K28" s="47"/>
      <c r="L28" s="52"/>
      <c r="M28" s="52"/>
      <c r="N28" s="52"/>
      <c r="O28" s="52"/>
      <c r="P28" s="52"/>
      <c r="Q28" s="52"/>
      <c r="R28" s="52"/>
      <c r="S28" s="52"/>
      <c r="T28" s="52" t="s">
        <v>9</v>
      </c>
      <c r="U28" s="52"/>
      <c r="V28" s="52"/>
      <c r="W28" s="52"/>
      <c r="X28" s="52"/>
      <c r="Y28" s="52"/>
      <c r="Z28" s="52"/>
      <c r="AA28" s="52"/>
      <c r="AB28" s="52"/>
    </row>
    <row r="29" spans="1:28" s="9" customFormat="1" ht="18.75" x14ac:dyDescent="0.3">
      <c r="A29" s="52"/>
      <c r="B29" s="54" t="s">
        <v>112</v>
      </c>
      <c r="C29" s="109">
        <f ca="1">TREND(Ytprioritering!E21:E22,Ytprioritering!D21:D22,'Indata och utdata'!C28)</f>
        <v>1135</v>
      </c>
      <c r="D29" s="110">
        <f ca="1">TREND(Ytprioritering!E17:E18,Ytprioritering!D17:D18,'Indata och utdata'!D28)</f>
        <v>1135</v>
      </c>
      <c r="E29" s="47" t="s">
        <v>61</v>
      </c>
      <c r="F29" s="47"/>
      <c r="G29" s="47"/>
      <c r="H29" s="47"/>
      <c r="I29" s="47"/>
      <c r="J29" s="47"/>
      <c r="K29" s="47"/>
      <c r="L29" s="52"/>
      <c r="M29" s="52"/>
      <c r="N29" s="52"/>
      <c r="O29" s="52"/>
      <c r="P29" s="52"/>
      <c r="Q29" s="52"/>
      <c r="R29" s="52"/>
      <c r="S29" s="52"/>
      <c r="T29" s="52" t="s">
        <v>9</v>
      </c>
      <c r="U29" s="52"/>
      <c r="V29" s="52"/>
      <c r="W29" s="52"/>
      <c r="X29" s="52"/>
      <c r="Y29" s="52"/>
      <c r="Z29" s="52"/>
      <c r="AA29" s="52"/>
      <c r="AB29" s="52"/>
    </row>
    <row r="30" spans="1:28" s="9" customFormat="1" ht="18.75" x14ac:dyDescent="0.3">
      <c r="A30" s="52"/>
      <c r="B30" s="54" t="s">
        <v>29</v>
      </c>
      <c r="C30" s="111">
        <f ca="1">C29*Komponentparametrar!C3</f>
        <v>6810000</v>
      </c>
      <c r="D30" s="112">
        <f ca="1">D29*Komponentparametrar!F8</f>
        <v>2360800</v>
      </c>
      <c r="E30" s="47" t="s">
        <v>62</v>
      </c>
      <c r="F30" s="47"/>
      <c r="G30" s="47"/>
      <c r="H30" s="47"/>
      <c r="I30" s="47"/>
      <c r="J30" s="47"/>
      <c r="K30" s="47"/>
      <c r="L30" s="52"/>
      <c r="M30" s="52"/>
      <c r="N30" s="52"/>
      <c r="O30" s="52"/>
      <c r="P30" s="52"/>
      <c r="Q30" s="52"/>
      <c r="R30" s="52"/>
      <c r="S30" s="52"/>
      <c r="T30" s="52" t="s">
        <v>9</v>
      </c>
      <c r="U30" s="52"/>
      <c r="V30" s="52"/>
      <c r="W30" s="52"/>
      <c r="X30" s="52"/>
      <c r="Y30" s="52"/>
      <c r="Z30" s="52"/>
      <c r="AA30" s="52"/>
      <c r="AB30" s="52"/>
    </row>
    <row r="31" spans="1:28" s="9" customFormat="1" ht="18.75" hidden="1" x14ac:dyDescent="0.3">
      <c r="A31" s="52"/>
      <c r="B31" s="54" t="s">
        <v>80</v>
      </c>
      <c r="C31" s="113">
        <f>SUM(Säsongsvariationer!AE6:AF11)*'Indata och utdata'!D5*1000</f>
        <v>202795.97555622683</v>
      </c>
      <c r="D31" s="114">
        <f>SUM(Säsongsvariationer!AD6:AD11)*'Indata och utdata'!D7*1000</f>
        <v>60000.000000000007</v>
      </c>
      <c r="E31" s="47"/>
      <c r="F31" s="47"/>
      <c r="G31" s="47"/>
      <c r="H31" s="47"/>
      <c r="I31" s="47"/>
      <c r="J31" s="47"/>
      <c r="K31" s="47"/>
      <c r="L31" s="52"/>
      <c r="M31" s="52"/>
      <c r="N31" s="52"/>
      <c r="O31" s="52"/>
      <c r="P31" s="52"/>
      <c r="Q31" s="52"/>
      <c r="R31" s="52"/>
      <c r="S31" s="52"/>
      <c r="T31" s="52" t="s">
        <v>9</v>
      </c>
      <c r="U31" s="52"/>
      <c r="V31" s="52"/>
      <c r="W31" s="52"/>
      <c r="X31" s="52"/>
      <c r="Y31" s="52"/>
      <c r="Z31" s="52"/>
      <c r="AA31" s="52"/>
      <c r="AB31" s="52"/>
    </row>
    <row r="32" spans="1:28" s="9" customFormat="1" ht="18.75" hidden="1" x14ac:dyDescent="0.3">
      <c r="A32" s="52"/>
      <c r="B32" s="54" t="s">
        <v>81</v>
      </c>
      <c r="C32" s="113">
        <f>(SUM(Säsongsvariationer!AE3:AF5)+SUM(Säsongsvariationer!AE12:AF14))*'Indata och utdata'!C5*1000</f>
        <v>96460.583924956532</v>
      </c>
      <c r="D32" s="114">
        <f>(SUM(Säsongsvariationer!AD3:AD5)+SUM(Säsongsvariationer!AD12:AD14))*C7*1000</f>
        <v>33059.148506543497</v>
      </c>
      <c r="E32" s="47"/>
      <c r="F32" s="47"/>
      <c r="G32" s="47"/>
      <c r="H32" s="47"/>
      <c r="I32" s="47"/>
      <c r="J32" s="47"/>
      <c r="K32" s="47"/>
      <c r="L32" s="52"/>
      <c r="M32" s="52"/>
      <c r="N32" s="52"/>
      <c r="O32" s="52"/>
      <c r="P32" s="52"/>
      <c r="Q32" s="52"/>
      <c r="R32" s="52"/>
      <c r="S32" s="52"/>
      <c r="T32" s="52" t="s">
        <v>9</v>
      </c>
      <c r="U32" s="52"/>
      <c r="V32" s="52"/>
      <c r="W32" s="52"/>
      <c r="X32" s="52"/>
      <c r="Y32" s="52"/>
      <c r="Z32" s="52"/>
      <c r="AA32" s="52"/>
      <c r="AB32" s="52"/>
    </row>
    <row r="33" spans="1:28" s="9" customFormat="1" ht="18.75" hidden="1" x14ac:dyDescent="0.3">
      <c r="A33" s="52"/>
      <c r="B33" s="54" t="s">
        <v>82</v>
      </c>
      <c r="C33" s="113">
        <f>SUM(Säsongsvariationer!AH6:AH11)*'Indata och utdata'!D6*1000</f>
        <v>32965.335081585741</v>
      </c>
      <c r="D33" s="114">
        <f>SUM(Säsongsvariationer!AG6:AG11)*D8*1000</f>
        <v>43440.275042340276</v>
      </c>
      <c r="E33" s="72"/>
      <c r="F33" s="72"/>
      <c r="G33" s="72"/>
      <c r="H33" s="72"/>
      <c r="I33" s="72"/>
      <c r="J33" s="72"/>
      <c r="K33" s="47"/>
      <c r="L33" s="52"/>
      <c r="M33" s="52"/>
      <c r="N33" s="52"/>
      <c r="O33" s="52"/>
      <c r="P33" s="52"/>
      <c r="Q33" s="52"/>
      <c r="R33" s="52"/>
      <c r="S33" s="52"/>
      <c r="T33" s="52" t="s">
        <v>9</v>
      </c>
      <c r="U33" s="52"/>
      <c r="V33" s="52"/>
      <c r="W33" s="52"/>
      <c r="X33" s="52"/>
      <c r="Y33" s="52"/>
      <c r="Z33" s="52"/>
      <c r="AA33" s="52"/>
      <c r="AB33" s="52"/>
    </row>
    <row r="34" spans="1:28" s="9" customFormat="1" ht="18.75" hidden="1" x14ac:dyDescent="0.3">
      <c r="A34" s="52"/>
      <c r="B34" s="54" t="s">
        <v>83</v>
      </c>
      <c r="C34" s="113">
        <f>(SUM(Säsongsvariationer!AH3:AH5)+SUM(Säsongsvariationer!AH12:AH14))*'Indata och utdata'!C6*1000</f>
        <v>0</v>
      </c>
      <c r="D34" s="114">
        <f>(SUM(Säsongsvariationer!AG3:AG5)+SUM(Säsongsvariationer!AG12:AG14))*C8*1000</f>
        <v>798.51645111624384</v>
      </c>
      <c r="E34" s="72"/>
      <c r="F34" s="72"/>
      <c r="G34" s="72"/>
      <c r="H34" s="72"/>
      <c r="I34" s="72"/>
      <c r="J34" s="72"/>
      <c r="K34" s="47"/>
      <c r="L34" s="52"/>
      <c r="M34" s="52"/>
      <c r="N34" s="52"/>
      <c r="O34" s="52"/>
      <c r="P34" s="52"/>
      <c r="Q34" s="52"/>
      <c r="R34" s="52"/>
      <c r="S34" s="52"/>
      <c r="T34" s="52" t="s">
        <v>9</v>
      </c>
      <c r="U34" s="52"/>
      <c r="V34" s="52"/>
      <c r="W34" s="52"/>
      <c r="X34" s="52"/>
      <c r="Y34" s="52"/>
      <c r="Z34" s="52"/>
      <c r="AA34" s="52"/>
      <c r="AB34" s="52"/>
    </row>
    <row r="35" spans="1:28" s="9" customFormat="1" ht="18.75" hidden="1" x14ac:dyDescent="0.3">
      <c r="A35" s="52"/>
      <c r="B35" s="54" t="s">
        <v>96</v>
      </c>
      <c r="C35" s="113">
        <f>SUM(C31:C34)</f>
        <v>332221.8945627691</v>
      </c>
      <c r="D35" s="114">
        <f>SUM(D31:D34)</f>
        <v>137297.94000000003</v>
      </c>
      <c r="E35" s="72"/>
      <c r="F35" s="72"/>
      <c r="G35" s="72"/>
      <c r="H35" s="72"/>
      <c r="I35" s="72"/>
      <c r="J35" s="72"/>
      <c r="K35" s="47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</row>
    <row r="36" spans="1:28" s="9" customFormat="1" ht="18.75" x14ac:dyDescent="0.3">
      <c r="A36" s="52"/>
      <c r="B36" s="54" t="s">
        <v>45</v>
      </c>
      <c r="C36" s="115">
        <f ca="1">RATE(Komponentparametrar!C6,-C35+C30*Komponentparametrar!C7,C30)+Ekonomi!E7</f>
        <v>1.7640041923903685E-2</v>
      </c>
      <c r="D36" s="116">
        <f ca="1">RATE(Komponentparametrar!F6,-D35+D30*Komponentparametrar!F7+IF(Säsongsvariationer!AF26&lt;0,Ekonomi!E8),D30)+Ekonomi!E6</f>
        <v>3.6919076924349231E-2</v>
      </c>
      <c r="E36" s="72"/>
      <c r="F36" s="72"/>
      <c r="G36" s="72"/>
      <c r="H36" s="72"/>
      <c r="I36" s="72"/>
      <c r="J36" s="72"/>
      <c r="K36" s="47"/>
      <c r="L36" s="52"/>
      <c r="M36" s="52"/>
      <c r="N36" s="52"/>
      <c r="O36" s="52"/>
      <c r="P36" s="52"/>
      <c r="Q36" s="52"/>
      <c r="R36" s="52"/>
      <c r="S36" s="52"/>
      <c r="T36" s="52" t="s">
        <v>9</v>
      </c>
      <c r="U36" s="52"/>
      <c r="V36" s="52"/>
      <c r="W36" s="52"/>
      <c r="X36" s="52"/>
      <c r="Y36" s="52"/>
      <c r="Z36" s="52"/>
      <c r="AA36" s="52"/>
      <c r="AB36" s="52"/>
    </row>
    <row r="37" spans="1:28" s="9" customFormat="1" ht="18.75" x14ac:dyDescent="0.3">
      <c r="A37" s="52"/>
      <c r="B37" s="54" t="s">
        <v>55</v>
      </c>
      <c r="C37" s="117">
        <f ca="1">(C30*Ekonomi!E5+C30*Komponentparametrar!C7)/('Indata och utdata'!C28*1000)</f>
        <v>1.2885228632570176</v>
      </c>
      <c r="D37" s="118">
        <f ca="1">(D30*Ekonomi!E5+D30*Komponentparametrar!F7+IF(Säsongsvariationer!AF26&lt;0,Ekonomi!E8))/('Indata och utdata'!D28*1000)</f>
        <v>1.501774390027369</v>
      </c>
      <c r="E37" s="72"/>
      <c r="F37" s="72"/>
      <c r="G37" s="72"/>
      <c r="H37" s="72"/>
      <c r="I37" s="72"/>
      <c r="J37" s="72"/>
      <c r="K37" s="47"/>
      <c r="L37" s="52"/>
      <c r="M37" s="52"/>
      <c r="N37" s="52"/>
      <c r="O37" s="52"/>
      <c r="P37" s="52"/>
      <c r="Q37" s="52"/>
      <c r="R37" s="52"/>
      <c r="S37" s="52"/>
      <c r="T37" s="52" t="s">
        <v>9</v>
      </c>
      <c r="U37" s="52"/>
      <c r="V37" s="52"/>
      <c r="W37" s="52"/>
      <c r="X37" s="52"/>
      <c r="Y37" s="52"/>
      <c r="Z37" s="52"/>
      <c r="AA37" s="52"/>
      <c r="AB37" s="52"/>
    </row>
    <row r="38" spans="1:28" s="9" customFormat="1" ht="18.75" x14ac:dyDescent="0.3">
      <c r="A38" s="52"/>
      <c r="B38" s="54" t="s">
        <v>105</v>
      </c>
      <c r="C38" s="109">
        <f ca="1">C30/(C35-C30*Komponentparametrar!C7)</f>
        <v>25.783549717729251</v>
      </c>
      <c r="D38" s="110">
        <f ca="1">D30/(D35-D30*Komponentparametrar!F7-IF(Säsongsvariationer!AF26&lt;0,Ekonomi!E8))</f>
        <v>20.248397959584508</v>
      </c>
      <c r="E38" s="72"/>
      <c r="F38" s="72"/>
      <c r="G38" s="72"/>
      <c r="H38" s="72"/>
      <c r="I38" s="72"/>
      <c r="J38" s="72"/>
      <c r="K38" s="47"/>
      <c r="L38" s="52"/>
      <c r="M38" s="52"/>
      <c r="N38" s="52"/>
      <c r="O38" s="52"/>
      <c r="P38" s="52"/>
      <c r="Q38" s="52"/>
      <c r="R38" s="52"/>
      <c r="S38" s="52"/>
      <c r="T38" s="52" t="s">
        <v>9</v>
      </c>
      <c r="U38" s="52"/>
      <c r="V38" s="52"/>
      <c r="W38" s="52"/>
      <c r="X38" s="52"/>
      <c r="Y38" s="52"/>
      <c r="Z38" s="52"/>
      <c r="AA38" s="52"/>
      <c r="AB38" s="52"/>
    </row>
    <row r="39" spans="1:28" s="9" customFormat="1" ht="19.5" thickBot="1" x14ac:dyDescent="0.35">
      <c r="A39" s="52"/>
      <c r="C39" s="119" t="str">
        <f ca="1">"(Ytorna prioriteras i ordningen: "&amp;Ytprioritering!B6&amp;", "&amp;Ytprioritering!B7&amp;", "&amp;Ytprioritering!B8&amp;", "&amp;Ytprioritering!B9&amp;", "&amp;Ytprioritering!B10&amp;")"</f>
        <v>(Ytorna prioriteras i ordningen: 5, 4, 2, 1, 3)</v>
      </c>
      <c r="D39" s="120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 t="s">
        <v>9</v>
      </c>
      <c r="U39" s="52"/>
      <c r="V39" s="52"/>
      <c r="W39" s="52"/>
      <c r="X39" s="52"/>
      <c r="Y39" s="52"/>
      <c r="Z39" s="52"/>
      <c r="AA39" s="52"/>
      <c r="AB39" s="52"/>
    </row>
    <row r="40" spans="1:28" s="9" customFormat="1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 t="s">
        <v>9</v>
      </c>
      <c r="U40" s="52"/>
      <c r="V40" s="52"/>
      <c r="W40" s="52"/>
      <c r="X40" s="52"/>
      <c r="Y40" s="52"/>
      <c r="Z40" s="52"/>
      <c r="AA40" s="52"/>
      <c r="AB40" s="52"/>
    </row>
    <row r="41" spans="1:28" s="9" customFormat="1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 t="s">
        <v>8</v>
      </c>
      <c r="U41" s="52"/>
      <c r="V41" s="52"/>
      <c r="W41" s="52"/>
      <c r="X41" s="52"/>
      <c r="Y41" s="52"/>
      <c r="Z41" s="52"/>
      <c r="AA41" s="52"/>
      <c r="AB41" s="52"/>
    </row>
    <row r="42" spans="1:28" s="9" customFormat="1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1"/>
      <c r="T42" s="52"/>
      <c r="U42" s="52"/>
      <c r="V42" s="52"/>
      <c r="W42" s="52"/>
      <c r="X42" s="52"/>
      <c r="Y42" s="52"/>
      <c r="Z42" s="52"/>
      <c r="AA42" s="52"/>
      <c r="AB42" s="52"/>
    </row>
    <row r="43" spans="1:28" s="9" customFormat="1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1"/>
      <c r="T43" s="52"/>
      <c r="U43" s="52"/>
      <c r="V43" s="52"/>
      <c r="W43" s="52"/>
      <c r="X43" s="52"/>
      <c r="Y43" s="52"/>
      <c r="Z43" s="52"/>
      <c r="AA43" s="52"/>
      <c r="AB43" s="52"/>
    </row>
    <row r="44" spans="1:28" s="9" customFormat="1" x14ac:dyDescent="0.25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1"/>
      <c r="T44" s="52"/>
      <c r="U44" s="52"/>
      <c r="V44" s="52"/>
      <c r="W44" s="52"/>
      <c r="X44" s="52"/>
      <c r="Y44" s="52"/>
      <c r="Z44" s="52"/>
      <c r="AA44" s="52"/>
      <c r="AB44" s="52"/>
    </row>
    <row r="45" spans="1:28" s="9" customFormat="1" x14ac:dyDescent="0.25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1"/>
      <c r="T45" s="52"/>
      <c r="U45" s="52"/>
      <c r="V45" s="52"/>
      <c r="W45" s="52"/>
      <c r="X45" s="52"/>
      <c r="Y45" s="52"/>
      <c r="Z45" s="52"/>
      <c r="AA45" s="52"/>
      <c r="AB45" s="52"/>
    </row>
    <row r="46" spans="1:28" s="9" customFormat="1" x14ac:dyDescent="0.25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1"/>
      <c r="T46" s="52"/>
      <c r="U46" s="52"/>
      <c r="V46" s="52"/>
      <c r="W46" s="52"/>
      <c r="X46" s="52"/>
      <c r="Y46" s="52"/>
      <c r="Z46" s="52"/>
      <c r="AA46" s="52"/>
      <c r="AB46" s="52"/>
    </row>
    <row r="47" spans="1:28" s="9" customFormat="1" x14ac:dyDescent="0.2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47"/>
      <c r="T47" s="52"/>
      <c r="U47" s="52"/>
      <c r="V47" s="52"/>
      <c r="W47" s="52"/>
      <c r="X47" s="52"/>
      <c r="Y47" s="52"/>
      <c r="Z47" s="52"/>
      <c r="AA47" s="52"/>
      <c r="AB47" s="52"/>
    </row>
    <row r="48" spans="1:28" s="9" customFormat="1" ht="15" customHeight="1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47"/>
      <c r="T48" s="52"/>
      <c r="U48" s="52"/>
      <c r="V48" s="52"/>
      <c r="W48" s="52"/>
      <c r="X48" s="52"/>
      <c r="Y48" s="52"/>
      <c r="Z48" s="52"/>
      <c r="AA48" s="52"/>
      <c r="AB48" s="52"/>
    </row>
    <row r="49" spans="1:28" s="9" customFormat="1" x14ac:dyDescent="0.2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47" t="s">
        <v>7</v>
      </c>
      <c r="T49" s="52"/>
      <c r="U49" s="52"/>
      <c r="V49" s="52"/>
      <c r="W49" s="52"/>
      <c r="X49" s="52"/>
      <c r="Y49" s="52"/>
      <c r="Z49" s="52"/>
      <c r="AA49" s="52"/>
      <c r="AB49" s="52"/>
    </row>
    <row r="50" spans="1:28" s="9" customFormat="1" x14ac:dyDescent="0.25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47" t="s">
        <v>19</v>
      </c>
      <c r="T50" s="52"/>
      <c r="U50" s="52"/>
      <c r="V50" s="52"/>
      <c r="W50" s="52"/>
      <c r="X50" s="52"/>
      <c r="Y50" s="52"/>
      <c r="Z50" s="52"/>
      <c r="AA50" s="52"/>
      <c r="AB50" s="52"/>
    </row>
    <row r="51" spans="1:28" s="9" customFormat="1" x14ac:dyDescent="0.2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47" t="s">
        <v>79</v>
      </c>
      <c r="T51" s="52"/>
      <c r="U51" s="52"/>
      <c r="V51" s="52"/>
      <c r="W51" s="52"/>
      <c r="X51" s="52"/>
      <c r="Y51" s="52"/>
      <c r="Z51" s="52"/>
      <c r="AA51" s="52"/>
      <c r="AB51" s="52"/>
    </row>
    <row r="52" spans="1:28" s="9" customFormat="1" x14ac:dyDescent="0.25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47" t="s">
        <v>78</v>
      </c>
      <c r="T52" s="52"/>
      <c r="U52" s="52"/>
      <c r="V52" s="52"/>
      <c r="W52" s="52"/>
      <c r="X52" s="52"/>
      <c r="Y52" s="52"/>
      <c r="Z52" s="52"/>
      <c r="AA52" s="52"/>
      <c r="AB52" s="52"/>
    </row>
    <row r="53" spans="1:28" s="9" customFormat="1" x14ac:dyDescent="0.25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47"/>
      <c r="T53" s="52"/>
      <c r="U53" s="52"/>
      <c r="V53" s="52"/>
      <c r="W53" s="52"/>
      <c r="X53" s="52"/>
      <c r="Y53" s="52"/>
      <c r="Z53" s="52"/>
      <c r="AA53" s="52"/>
      <c r="AB53" s="52"/>
    </row>
    <row r="54" spans="1:28" s="9" customFormat="1" x14ac:dyDescent="0.25">
      <c r="A54" s="52"/>
      <c r="B54" s="52" t="s">
        <v>116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47" t="s">
        <v>50</v>
      </c>
      <c r="T54" s="52"/>
      <c r="U54" s="52"/>
      <c r="V54" s="52"/>
      <c r="W54" s="52"/>
      <c r="X54" s="52"/>
      <c r="Y54" s="52"/>
      <c r="Z54" s="52"/>
      <c r="AA54" s="52"/>
      <c r="AB54" s="52"/>
    </row>
    <row r="55" spans="1:28" s="9" customFormat="1" x14ac:dyDescent="0.25">
      <c r="A55" s="52"/>
      <c r="B55" s="52" t="s">
        <v>117</v>
      </c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47" t="s">
        <v>19</v>
      </c>
      <c r="T55" s="52"/>
      <c r="U55" s="52"/>
      <c r="V55" s="52"/>
      <c r="W55" s="52"/>
      <c r="X55" s="52"/>
      <c r="Y55" s="52"/>
      <c r="Z55" s="52"/>
      <c r="AA55" s="52"/>
      <c r="AB55" s="52"/>
    </row>
    <row r="56" spans="1:28" s="9" customFormat="1" x14ac:dyDescent="0.25">
      <c r="A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47" t="s">
        <v>78</v>
      </c>
      <c r="T56" s="52"/>
      <c r="U56" s="52"/>
      <c r="V56" s="52"/>
      <c r="W56" s="52"/>
      <c r="X56" s="52"/>
      <c r="Y56" s="52"/>
      <c r="Z56" s="52"/>
      <c r="AA56" s="52"/>
      <c r="AB56" s="52"/>
    </row>
    <row r="57" spans="1:28" s="9" customFormat="1" x14ac:dyDescent="0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47"/>
      <c r="T57" s="52"/>
      <c r="U57" s="52"/>
      <c r="V57" s="52"/>
      <c r="W57" s="52"/>
      <c r="X57" s="52"/>
      <c r="Y57" s="52"/>
      <c r="Z57" s="52"/>
      <c r="AA57" s="52"/>
      <c r="AB57" s="52"/>
    </row>
    <row r="58" spans="1:28" s="9" customFormat="1" x14ac:dyDescent="0.25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47"/>
      <c r="T58" s="52"/>
      <c r="U58" s="52"/>
      <c r="V58" s="52"/>
      <c r="W58" s="52"/>
      <c r="X58" s="52"/>
      <c r="Y58" s="52"/>
      <c r="Z58" s="52"/>
      <c r="AA58" s="52"/>
      <c r="AB58" s="52"/>
    </row>
    <row r="59" spans="1:28" s="9" customFormat="1" x14ac:dyDescent="0.25">
      <c r="A59" s="52"/>
      <c r="B59" s="52"/>
      <c r="C59" s="52"/>
      <c r="D59" s="52"/>
      <c r="E59" s="52"/>
      <c r="F59" s="53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47"/>
      <c r="T59" s="52"/>
      <c r="U59" s="52"/>
      <c r="V59" s="52"/>
      <c r="W59" s="52"/>
      <c r="X59" s="52"/>
      <c r="Y59" s="52"/>
      <c r="Z59" s="52"/>
      <c r="AA59" s="52"/>
      <c r="AB59" s="52"/>
    </row>
    <row r="60" spans="1:28" s="9" customFormat="1" x14ac:dyDescent="0.25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1"/>
      <c r="T60" s="52"/>
      <c r="U60" s="52"/>
      <c r="V60" s="52"/>
      <c r="W60" s="52"/>
      <c r="X60" s="52"/>
      <c r="Y60" s="52"/>
      <c r="Z60" s="52"/>
      <c r="AA60" s="52"/>
      <c r="AB60" s="52"/>
    </row>
    <row r="61" spans="1:28" s="9" customFormat="1" x14ac:dyDescent="0.25">
      <c r="A61" s="52"/>
      <c r="B61" s="52"/>
      <c r="C61" s="52"/>
      <c r="D61" s="52"/>
      <c r="E61" s="52"/>
      <c r="F61" s="53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1"/>
      <c r="T61" s="52"/>
      <c r="U61" s="52"/>
      <c r="V61" s="52"/>
      <c r="W61" s="52"/>
      <c r="X61" s="52"/>
      <c r="Y61" s="52"/>
      <c r="Z61" s="52"/>
      <c r="AA61" s="52"/>
      <c r="AB61" s="52"/>
    </row>
    <row r="62" spans="1:28" s="9" customFormat="1" x14ac:dyDescent="0.25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1"/>
      <c r="T62" s="52"/>
      <c r="U62" s="52"/>
      <c r="V62" s="52"/>
      <c r="W62" s="52"/>
      <c r="X62" s="52"/>
      <c r="Y62" s="52"/>
      <c r="Z62" s="52"/>
      <c r="AA62" s="52"/>
      <c r="AB62" s="52"/>
    </row>
    <row r="63" spans="1:28" s="9" customFormat="1" x14ac:dyDescent="0.25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1"/>
      <c r="T63" s="52"/>
      <c r="U63" s="52"/>
      <c r="V63" s="52"/>
      <c r="W63" s="52"/>
      <c r="X63" s="52"/>
      <c r="Y63" s="52"/>
      <c r="Z63" s="52"/>
      <c r="AA63" s="52"/>
      <c r="AB63" s="52"/>
    </row>
    <row r="64" spans="1:28" s="9" customFormat="1" x14ac:dyDescent="0.25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1"/>
      <c r="T64" s="52"/>
      <c r="U64" s="52"/>
      <c r="V64" s="52"/>
      <c r="W64" s="52"/>
      <c r="X64" s="52"/>
      <c r="Y64" s="52"/>
      <c r="Z64" s="52"/>
      <c r="AA64" s="52"/>
      <c r="AB64" s="52"/>
    </row>
    <row r="65" spans="1:28" s="9" customFormat="1" x14ac:dyDescent="0.25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</row>
    <row r="66" spans="1:28" s="9" customFormat="1" x14ac:dyDescent="0.25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</row>
    <row r="67" spans="1:28" s="9" customFormat="1" x14ac:dyDescent="0.25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</row>
    <row r="68" spans="1:28" s="9" customFormat="1" x14ac:dyDescent="0.25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</row>
    <row r="69" spans="1:28" s="9" customFormat="1" x14ac:dyDescent="0.25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</row>
    <row r="70" spans="1:28" s="9" customFormat="1" x14ac:dyDescent="0.25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</row>
    <row r="71" spans="1:28" s="9" customFormat="1" x14ac:dyDescent="0.25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</row>
    <row r="72" spans="1:28" s="9" customFormat="1" x14ac:dyDescent="0.25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</row>
    <row r="73" spans="1:28" s="9" customFormat="1" x14ac:dyDescent="0.25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</row>
    <row r="74" spans="1:28" s="9" customFormat="1" x14ac:dyDescent="0.25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</row>
    <row r="75" spans="1:28" s="9" customFormat="1" x14ac:dyDescent="0.25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</row>
    <row r="76" spans="1:28" s="9" customFormat="1" x14ac:dyDescent="0.25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</row>
    <row r="77" spans="1:28" s="9" customFormat="1" x14ac:dyDescent="0.25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</row>
    <row r="78" spans="1:28" s="9" customFormat="1" x14ac:dyDescent="0.25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</row>
    <row r="79" spans="1:28" s="9" customFormat="1" x14ac:dyDescent="0.25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</row>
    <row r="80" spans="1:28" s="9" customFormat="1" x14ac:dyDescent="0.25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</row>
    <row r="81" spans="1:28" s="9" customFormat="1" x14ac:dyDescent="0.25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</row>
    <row r="82" spans="1:28" s="9" customFormat="1" x14ac:dyDescent="0.25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</row>
    <row r="83" spans="1:28" s="9" customFormat="1" x14ac:dyDescent="0.25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</row>
    <row r="84" spans="1:28" s="9" customFormat="1" x14ac:dyDescent="0.25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</row>
    <row r="85" spans="1:28" s="9" customFormat="1" x14ac:dyDescent="0.2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</row>
    <row r="86" spans="1:28" s="9" customFormat="1" x14ac:dyDescent="0.25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</row>
    <row r="87" spans="1:28" s="9" customFormat="1" x14ac:dyDescent="0.25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</row>
    <row r="88" spans="1:28" s="9" customFormat="1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</row>
    <row r="89" spans="1:28" x14ac:dyDescent="0.25">
      <c r="A89" s="52"/>
      <c r="B89" s="63"/>
      <c r="C89" s="63"/>
      <c r="D89" s="63"/>
      <c r="E89" s="65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</row>
    <row r="90" spans="1:28" x14ac:dyDescent="0.25">
      <c r="A90" s="52"/>
      <c r="B90" s="63"/>
      <c r="C90" s="63"/>
      <c r="D90" s="63"/>
      <c r="E90" s="52"/>
      <c r="F90" s="52"/>
      <c r="G90" s="52"/>
      <c r="H90" s="52"/>
      <c r="I90" s="52"/>
      <c r="J90" s="52"/>
      <c r="K90" s="66"/>
      <c r="L90" s="52"/>
      <c r="M90" s="52"/>
      <c r="N90" s="52"/>
      <c r="O90" s="52"/>
      <c r="P90" s="52"/>
      <c r="Q90" s="52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</row>
    <row r="91" spans="1:28" x14ac:dyDescent="0.25">
      <c r="A91" s="52"/>
      <c r="B91" s="63"/>
      <c r="C91" s="63"/>
      <c r="D91" s="63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</row>
    <row r="92" spans="1:28" x14ac:dyDescent="0.25">
      <c r="A92" s="52"/>
      <c r="B92" s="63"/>
      <c r="C92" s="63"/>
      <c r="D92" s="63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</row>
    <row r="93" spans="1:28" x14ac:dyDescent="0.25">
      <c r="A93" s="52"/>
      <c r="B93" s="63"/>
      <c r="C93" s="63"/>
      <c r="D93" s="63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</row>
    <row r="94" spans="1:28" x14ac:dyDescent="0.25">
      <c r="A94" s="52"/>
      <c r="B94" s="63"/>
      <c r="C94" s="63"/>
      <c r="D94" s="63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</row>
    <row r="95" spans="1:28" x14ac:dyDescent="0.25">
      <c r="A95" s="52"/>
      <c r="B95" s="63"/>
      <c r="C95" s="63"/>
      <c r="D95" s="63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</row>
    <row r="96" spans="1:28" x14ac:dyDescent="0.25">
      <c r="A96" s="52"/>
      <c r="B96" s="63"/>
      <c r="C96" s="63"/>
      <c r="D96" s="63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</row>
    <row r="97" spans="1:11" x14ac:dyDescent="0.25">
      <c r="A97" s="52"/>
      <c r="B97" s="63"/>
      <c r="C97" s="63"/>
      <c r="D97" s="63"/>
      <c r="E97" s="52"/>
      <c r="F97" s="52"/>
      <c r="G97" s="52"/>
      <c r="H97" s="52"/>
      <c r="I97" s="52"/>
      <c r="J97" s="52"/>
      <c r="K97" s="52"/>
    </row>
  </sheetData>
  <sheetProtection password="C713" sheet="1" objects="1" scenarios="1"/>
  <dataValidations count="2">
    <dataValidation type="list" allowBlank="1" showInputMessage="1" showErrorMessage="1" sqref="C11">
      <formula1>$S$49:$S$52</formula1>
    </dataValidation>
    <dataValidation type="list" allowBlank="1" showInputMessage="1" showErrorMessage="1" sqref="C10">
      <formula1>$S$54:$S$56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36"/>
  <sheetViews>
    <sheetView topLeftCell="I1" workbookViewId="0">
      <selection activeCell="R10" sqref="R10"/>
    </sheetView>
  </sheetViews>
  <sheetFormatPr defaultRowHeight="15" x14ac:dyDescent="0.25"/>
  <cols>
    <col min="1" max="1" width="9.140625" style="9"/>
    <col min="2" max="2" width="34.42578125" style="9" customWidth="1"/>
    <col min="3" max="3" width="11.42578125" style="9" bestFit="1" customWidth="1"/>
    <col min="4" max="6" width="9.140625" style="9"/>
    <col min="7" max="7" width="12.28515625" style="9" customWidth="1"/>
    <col min="8" max="10" width="11.5703125" style="9" bestFit="1" customWidth="1"/>
    <col min="11" max="11" width="9.42578125" style="9" customWidth="1"/>
    <col min="12" max="12" width="9.140625" style="9"/>
    <col min="13" max="13" width="11.42578125" style="9" bestFit="1" customWidth="1"/>
    <col min="14" max="14" width="9.85546875" style="9" bestFit="1" customWidth="1"/>
    <col min="15" max="15" width="13.85546875" style="9" customWidth="1"/>
    <col min="16" max="16" width="12.42578125" style="9" customWidth="1"/>
    <col min="17" max="30" width="9.140625" style="9"/>
    <col min="31" max="31" width="10.5703125" style="9" customWidth="1"/>
    <col min="32" max="32" width="10.7109375" style="9" bestFit="1" customWidth="1"/>
    <col min="33" max="16384" width="9.140625" style="9"/>
  </cols>
  <sheetData>
    <row r="1" spans="2:34" x14ac:dyDescent="0.25">
      <c r="X1" s="19"/>
      <c r="Y1" s="19"/>
      <c r="Z1" s="19"/>
      <c r="AA1" s="19"/>
      <c r="AB1" s="122" t="s">
        <v>73</v>
      </c>
      <c r="AC1" s="122"/>
      <c r="AD1" s="122" t="s">
        <v>74</v>
      </c>
      <c r="AE1" s="122"/>
      <c r="AF1" s="122"/>
      <c r="AG1" s="122" t="s">
        <v>75</v>
      </c>
      <c r="AH1" s="122"/>
    </row>
    <row r="2" spans="2:34" x14ac:dyDescent="0.25">
      <c r="C2" s="9" t="s">
        <v>99</v>
      </c>
      <c r="D2" s="9" t="s">
        <v>0</v>
      </c>
      <c r="E2" s="9" t="s">
        <v>97</v>
      </c>
      <c r="G2" s="9" t="s">
        <v>98</v>
      </c>
      <c r="M2" s="9" t="s">
        <v>6</v>
      </c>
      <c r="R2" s="9" t="s">
        <v>39</v>
      </c>
      <c r="T2" s="9" t="s">
        <v>41</v>
      </c>
      <c r="U2" s="9" t="s">
        <v>40</v>
      </c>
      <c r="Y2" s="19" t="s">
        <v>101</v>
      </c>
      <c r="Z2" s="19"/>
      <c r="AA2" s="19"/>
      <c r="AB2" s="9" t="s">
        <v>65</v>
      </c>
      <c r="AC2" s="9" t="s">
        <v>64</v>
      </c>
      <c r="AD2" s="9" t="s">
        <v>65</v>
      </c>
      <c r="AE2" s="9" t="s">
        <v>76</v>
      </c>
      <c r="AF2" s="9" t="s">
        <v>77</v>
      </c>
      <c r="AG2" s="9" t="s">
        <v>65</v>
      </c>
      <c r="AH2" s="9" t="s">
        <v>64</v>
      </c>
    </row>
    <row r="3" spans="2:34" x14ac:dyDescent="0.25">
      <c r="B3" s="9" t="s">
        <v>11</v>
      </c>
      <c r="C3" s="23">
        <f>'Indata och utdata'!C$13*I3/12</f>
        <v>54.166666666666664</v>
      </c>
      <c r="D3" s="21">
        <f>'Indata och utdata'!C$14*Säsongsvariationer!J3</f>
        <v>226.58227848101262</v>
      </c>
      <c r="E3" s="21">
        <f>'Indata och utdata'!C$15/12</f>
        <v>8.3333333333333339</v>
      </c>
      <c r="G3" s="23">
        <f>C3+D3</f>
        <v>280.74894514767931</v>
      </c>
      <c r="I3" s="23">
        <v>1.3</v>
      </c>
      <c r="J3" s="24">
        <f t="shared" ref="J3:J14" si="0">N3/SUM(N$3:N$14)</f>
        <v>0.16184448462929474</v>
      </c>
      <c r="M3" s="9">
        <v>-0.9</v>
      </c>
      <c r="N3" s="9">
        <f t="shared" ref="N3:N14" si="1">17-M3</f>
        <v>17.899999999999999</v>
      </c>
      <c r="R3" s="9">
        <f>Y3/Y$15</f>
        <v>2.1875801898896593E-2</v>
      </c>
      <c r="T3" s="9">
        <f>'Indata och utdata'!$C$26*Säsongsvariationer!R3</f>
        <v>8.5569872836654994</v>
      </c>
      <c r="U3" s="9">
        <f>'Indata och utdata'!D$26*Säsongsvariationer!R3</f>
        <v>2.5029187804721587</v>
      </c>
      <c r="X3" s="19"/>
      <c r="Y3" s="43">
        <v>0.34100000000000003</v>
      </c>
      <c r="Z3" s="19"/>
      <c r="AA3" s="19"/>
      <c r="AB3" s="23">
        <f>R3*'Indata och utdata'!D$28</f>
        <v>2.5029187804721587</v>
      </c>
      <c r="AC3" s="23">
        <f>R3*'Indata och utdata'!C$28</f>
        <v>8.5569872836654994</v>
      </c>
      <c r="AD3" s="23">
        <f>MIN(AB3,E3)</f>
        <v>2.5029187804721587</v>
      </c>
      <c r="AE3" s="23">
        <f>MIN(AC3,C3)</f>
        <v>8.5569872836654994</v>
      </c>
      <c r="AF3" s="23">
        <f>MIN(D3,AC3-AE3)</f>
        <v>0</v>
      </c>
      <c r="AG3" s="23">
        <f>AB3-AD3</f>
        <v>0</v>
      </c>
      <c r="AH3" s="23">
        <f>AC3-AE3-AF3</f>
        <v>0</v>
      </c>
    </row>
    <row r="4" spans="2:34" x14ac:dyDescent="0.25">
      <c r="B4" s="9" t="s">
        <v>12</v>
      </c>
      <c r="C4" s="23">
        <f>'Indata och utdata'!C$13*I4/12</f>
        <v>50</v>
      </c>
      <c r="D4" s="21">
        <f>'Indata och utdata'!C$14*Säsongsvariationer!J4</f>
        <v>226.58227848101262</v>
      </c>
      <c r="E4" s="21">
        <f>'Indata och utdata'!C$15/12</f>
        <v>8.3333333333333339</v>
      </c>
      <c r="G4" s="23">
        <f t="shared" ref="G4:G14" si="2">C4+D4</f>
        <v>276.58227848101262</v>
      </c>
      <c r="I4" s="23">
        <v>1.2</v>
      </c>
      <c r="J4" s="24">
        <f t="shared" si="0"/>
        <v>0.16184448462929474</v>
      </c>
      <c r="M4" s="9">
        <v>-0.9</v>
      </c>
      <c r="N4" s="9">
        <f t="shared" si="1"/>
        <v>17.899999999999999</v>
      </c>
      <c r="R4" s="9">
        <f t="shared" ref="R4:R14" si="3">Y4/Y$15</f>
        <v>4.5996920708237111E-2</v>
      </c>
      <c r="T4" s="9">
        <f>'Indata och utdata'!$C$26*Säsongsvariationer!R4</f>
        <v>17.992257719613381</v>
      </c>
      <c r="U4" s="9">
        <f>'Indata och utdata'!D$26*Säsongsvariationer!R4</f>
        <v>5.2627353829869135</v>
      </c>
      <c r="X4" s="19"/>
      <c r="Y4" s="43">
        <v>0.71699999999999997</v>
      </c>
      <c r="Z4" s="19"/>
      <c r="AA4" s="19"/>
      <c r="AB4" s="23">
        <f>R4*'Indata och utdata'!D$28</f>
        <v>5.2627353829869135</v>
      </c>
      <c r="AC4" s="23">
        <f>R4*'Indata och utdata'!C$28</f>
        <v>17.992257719613381</v>
      </c>
      <c r="AD4" s="23">
        <f t="shared" ref="AD4:AD14" si="4">MIN(AB4,E4)</f>
        <v>5.2627353829869135</v>
      </c>
      <c r="AE4" s="23">
        <f t="shared" ref="AE4:AE14" si="5">MIN(AC4,C4)</f>
        <v>17.992257719613381</v>
      </c>
      <c r="AF4" s="23">
        <f t="shared" ref="AF4:AF14" si="6">MIN(D4,AC4-AE4)</f>
        <v>0</v>
      </c>
      <c r="AG4" s="23">
        <f t="shared" ref="AG4:AG14" si="7">AB4-AD4</f>
        <v>0</v>
      </c>
      <c r="AH4" s="23">
        <f t="shared" ref="AH4:AH14" si="8">AC4-AE4-AF4</f>
        <v>0</v>
      </c>
    </row>
    <row r="5" spans="2:34" x14ac:dyDescent="0.25">
      <c r="B5" s="9" t="s">
        <v>1</v>
      </c>
      <c r="C5" s="23">
        <f>'Indata och utdata'!C$13*I5/12</f>
        <v>54.166666666666664</v>
      </c>
      <c r="D5" s="21">
        <f>'Indata och utdata'!C$14*Säsongsvariationer!J5</f>
        <v>189.87341772151899</v>
      </c>
      <c r="E5" s="21">
        <f>'Indata och utdata'!C$15/12</f>
        <v>8.3333333333333339</v>
      </c>
      <c r="G5" s="23">
        <f t="shared" si="2"/>
        <v>244.04008438818565</v>
      </c>
      <c r="I5" s="23">
        <v>1.3</v>
      </c>
      <c r="J5" s="24">
        <f t="shared" si="0"/>
        <v>0.13562386980108498</v>
      </c>
      <c r="M5" s="9">
        <v>2</v>
      </c>
      <c r="N5" s="9">
        <f t="shared" si="1"/>
        <v>15</v>
      </c>
      <c r="R5" s="9">
        <f t="shared" si="3"/>
        <v>7.8650243777264581E-2</v>
      </c>
      <c r="T5" s="9">
        <f>'Indata och utdata'!$C$26*Säsongsvariationer!R5</f>
        <v>30.765004134234317</v>
      </c>
      <c r="U5" s="9">
        <f>'Indata och utdata'!D$26*Säsongsvariationer!R5</f>
        <v>8.9987637092635371</v>
      </c>
      <c r="X5" s="19"/>
      <c r="Y5" s="43">
        <v>1.226</v>
      </c>
      <c r="Z5" s="19"/>
      <c r="AA5" s="19"/>
      <c r="AB5" s="23">
        <f>R5*'Indata och utdata'!D$28</f>
        <v>8.9987637092635371</v>
      </c>
      <c r="AC5" s="23">
        <f>R5*'Indata och utdata'!C$28</f>
        <v>30.765004134234317</v>
      </c>
      <c r="AD5" s="23">
        <f t="shared" si="4"/>
        <v>8.3333333333333339</v>
      </c>
      <c r="AE5" s="23">
        <f t="shared" si="5"/>
        <v>30.765004134234317</v>
      </c>
      <c r="AF5" s="23">
        <f t="shared" si="6"/>
        <v>0</v>
      </c>
      <c r="AG5" s="23">
        <f t="shared" si="7"/>
        <v>0.66543037593020316</v>
      </c>
      <c r="AH5" s="23">
        <f t="shared" si="8"/>
        <v>0</v>
      </c>
    </row>
    <row r="6" spans="2:34" x14ac:dyDescent="0.25">
      <c r="B6" s="9" t="s">
        <v>2</v>
      </c>
      <c r="C6" s="23">
        <f>'Indata och utdata'!C$13*I6/12</f>
        <v>45.833333333333336</v>
      </c>
      <c r="D6" s="21">
        <f>'Indata och utdata'!C$14*Säsongsvariationer!J6</f>
        <v>139.24050632911391</v>
      </c>
      <c r="E6" s="21">
        <f>'Indata och utdata'!C$15/12</f>
        <v>8.3333333333333339</v>
      </c>
      <c r="G6" s="23">
        <f t="shared" si="2"/>
        <v>185.07383966244726</v>
      </c>
      <c r="I6" s="23">
        <v>1.1000000000000001</v>
      </c>
      <c r="J6" s="24">
        <f t="shared" si="0"/>
        <v>9.9457504520795659E-2</v>
      </c>
      <c r="M6" s="9">
        <v>6</v>
      </c>
      <c r="N6" s="9">
        <f t="shared" si="1"/>
        <v>11</v>
      </c>
      <c r="R6" s="9">
        <f t="shared" si="3"/>
        <v>0.10950731331793689</v>
      </c>
      <c r="T6" s="9">
        <f>'Indata och utdata'!$C$26*Säsongsvariationer!R6</f>
        <v>42.835124027029345</v>
      </c>
      <c r="U6" s="9">
        <f>'Indata och utdata'!D$26*Säsongsvariationer!R6</f>
        <v>12.529273777906083</v>
      </c>
      <c r="X6" s="19"/>
      <c r="Y6" s="43">
        <v>1.7070000000000001</v>
      </c>
      <c r="Z6" s="19"/>
      <c r="AA6" s="19"/>
      <c r="AB6" s="23">
        <f>R6*'Indata och utdata'!D$28</f>
        <v>12.529273777906083</v>
      </c>
      <c r="AC6" s="23">
        <f>R6*'Indata och utdata'!C$28</f>
        <v>42.835124027029345</v>
      </c>
      <c r="AD6" s="23">
        <f t="shared" si="4"/>
        <v>8.3333333333333339</v>
      </c>
      <c r="AE6" s="23">
        <f t="shared" si="5"/>
        <v>42.835124027029345</v>
      </c>
      <c r="AF6" s="23">
        <f t="shared" si="6"/>
        <v>0</v>
      </c>
      <c r="AG6" s="23">
        <f t="shared" si="7"/>
        <v>4.1959404445727486</v>
      </c>
      <c r="AH6" s="23">
        <f t="shared" si="8"/>
        <v>0</v>
      </c>
    </row>
    <row r="7" spans="2:34" x14ac:dyDescent="0.25">
      <c r="B7" s="9" t="s">
        <v>3</v>
      </c>
      <c r="C7" s="23">
        <f>'Indata och utdata'!C$13*I7/12</f>
        <v>37.5</v>
      </c>
      <c r="D7" s="21">
        <f>'Indata och utdata'!C$14*Säsongsvariationer!J7</f>
        <v>68.354430379746844</v>
      </c>
      <c r="E7" s="21">
        <f>'Indata och utdata'!C$15/12</f>
        <v>8.3333333333333339</v>
      </c>
      <c r="G7" s="23">
        <f t="shared" si="2"/>
        <v>105.85443037974684</v>
      </c>
      <c r="I7" s="23">
        <v>0.9</v>
      </c>
      <c r="J7" s="24">
        <f t="shared" si="0"/>
        <v>4.8824593128390603E-2</v>
      </c>
      <c r="M7" s="9">
        <v>11.6</v>
      </c>
      <c r="N7" s="9">
        <f t="shared" si="1"/>
        <v>5.4</v>
      </c>
      <c r="R7" s="9">
        <f t="shared" si="3"/>
        <v>0.13863228124198104</v>
      </c>
      <c r="T7" s="9">
        <f>'Indata och utdata'!$C$26*Säsongsvariationer!R7</f>
        <v>54.227711202349397</v>
      </c>
      <c r="U7" s="9">
        <f>'Indata och utdata'!D$26*Säsongsvariationer!R7</f>
        <v>15.861605526687198</v>
      </c>
      <c r="X7" s="19"/>
      <c r="Y7" s="43">
        <v>2.161</v>
      </c>
      <c r="Z7" s="19"/>
      <c r="AA7" s="19"/>
      <c r="AB7" s="23">
        <f>R7*'Indata och utdata'!D$28</f>
        <v>15.861605526687198</v>
      </c>
      <c r="AC7" s="23">
        <f>R7*'Indata och utdata'!C$28</f>
        <v>54.227711202349397</v>
      </c>
      <c r="AD7" s="23">
        <f t="shared" si="4"/>
        <v>8.3333333333333339</v>
      </c>
      <c r="AE7" s="23">
        <f t="shared" si="5"/>
        <v>37.5</v>
      </c>
      <c r="AF7" s="23">
        <f t="shared" si="6"/>
        <v>16.727711202349397</v>
      </c>
      <c r="AG7" s="23">
        <f t="shared" si="7"/>
        <v>7.5282721933538639</v>
      </c>
      <c r="AH7" s="23">
        <f t="shared" si="8"/>
        <v>0</v>
      </c>
    </row>
    <row r="8" spans="2:34" x14ac:dyDescent="0.25">
      <c r="B8" s="9" t="s">
        <v>4</v>
      </c>
      <c r="C8" s="23">
        <f>'Indata och utdata'!C$13*I8/12</f>
        <v>33.333333333333336</v>
      </c>
      <c r="D8" s="21">
        <f>'Indata och utdata'!C$14*Säsongsvariationer!J8</f>
        <v>18.9873417721519</v>
      </c>
      <c r="E8" s="21">
        <f>'Indata och utdata'!C$15/12</f>
        <v>8.3333333333333339</v>
      </c>
      <c r="G8" s="23">
        <f t="shared" si="2"/>
        <v>52.320675105485236</v>
      </c>
      <c r="I8" s="23">
        <v>0.8</v>
      </c>
      <c r="J8" s="24">
        <f t="shared" si="0"/>
        <v>1.35623869801085E-2</v>
      </c>
      <c r="M8" s="9">
        <v>15.5</v>
      </c>
      <c r="N8" s="9">
        <f t="shared" si="1"/>
        <v>1.5</v>
      </c>
      <c r="R8" s="9">
        <f t="shared" si="3"/>
        <v>0.14684372594303313</v>
      </c>
      <c r="T8" s="9">
        <f>'Indata och utdata'!$C$26*Säsongsvariationer!R8</f>
        <v>57.439718159267827</v>
      </c>
      <c r="U8" s="9">
        <f>'Indata och utdata'!D$26*Säsongsvariationer!R8</f>
        <v>16.801117561585837</v>
      </c>
      <c r="X8" s="19"/>
      <c r="Y8" s="43">
        <v>2.2890000000000001</v>
      </c>
      <c r="Z8" s="19"/>
      <c r="AA8" s="19"/>
      <c r="AB8" s="23">
        <f>R8*'Indata och utdata'!D$28</f>
        <v>16.801117561585837</v>
      </c>
      <c r="AC8" s="23">
        <f>R8*'Indata och utdata'!C$28</f>
        <v>57.439718159267827</v>
      </c>
      <c r="AD8" s="23">
        <f t="shared" si="4"/>
        <v>8.3333333333333339</v>
      </c>
      <c r="AE8" s="23">
        <f t="shared" si="5"/>
        <v>33.333333333333336</v>
      </c>
      <c r="AF8" s="23">
        <f t="shared" si="6"/>
        <v>18.9873417721519</v>
      </c>
      <c r="AG8" s="23">
        <f t="shared" si="7"/>
        <v>8.4677842282525031</v>
      </c>
      <c r="AH8" s="23">
        <f t="shared" si="8"/>
        <v>5.1190430537825904</v>
      </c>
    </row>
    <row r="9" spans="2:34" x14ac:dyDescent="0.25">
      <c r="B9" s="9" t="s">
        <v>5</v>
      </c>
      <c r="C9" s="23">
        <f>'Indata och utdata'!C$13*I9/12</f>
        <v>25</v>
      </c>
      <c r="D9" s="21">
        <f>'Indata och utdata'!C$14*Säsongsvariationer!J9</f>
        <v>5.0632911392404889</v>
      </c>
      <c r="E9" s="21">
        <f>'Indata och utdata'!C$15/12</f>
        <v>8.3333333333333339</v>
      </c>
      <c r="G9" s="23">
        <f t="shared" si="2"/>
        <v>30.063291139240491</v>
      </c>
      <c r="I9" s="23">
        <v>0.6</v>
      </c>
      <c r="J9" s="24">
        <f t="shared" si="0"/>
        <v>3.6166365280289204E-3</v>
      </c>
      <c r="M9" s="9">
        <v>16.600000000000001</v>
      </c>
      <c r="N9" s="9">
        <f t="shared" si="1"/>
        <v>0.39999999999999858</v>
      </c>
      <c r="R9" s="9">
        <f t="shared" si="3"/>
        <v>0.14273800359250707</v>
      </c>
      <c r="T9" s="9">
        <f>'Indata och utdata'!$C$26*Säsongsvariationer!R9</f>
        <v>55.833714680808605</v>
      </c>
      <c r="U9" s="9">
        <f>'Indata och utdata'!D$26*Säsongsvariationer!R9</f>
        <v>16.331361544136517</v>
      </c>
      <c r="X9" s="19"/>
      <c r="Y9" s="43">
        <v>2.2250000000000001</v>
      </c>
      <c r="Z9" s="19"/>
      <c r="AA9" s="19"/>
      <c r="AB9" s="23">
        <f>R9*'Indata och utdata'!D$28</f>
        <v>16.331361544136517</v>
      </c>
      <c r="AC9" s="23">
        <f>R9*'Indata och utdata'!C$28</f>
        <v>55.833714680808605</v>
      </c>
      <c r="AD9" s="23">
        <f t="shared" si="4"/>
        <v>8.3333333333333339</v>
      </c>
      <c r="AE9" s="23">
        <f t="shared" si="5"/>
        <v>25</v>
      </c>
      <c r="AF9" s="23">
        <f t="shared" si="6"/>
        <v>5.0632911392404889</v>
      </c>
      <c r="AG9" s="23">
        <f t="shared" si="7"/>
        <v>7.9980282108031826</v>
      </c>
      <c r="AH9" s="23">
        <f t="shared" si="8"/>
        <v>25.770423541568114</v>
      </c>
    </row>
    <row r="10" spans="2:34" x14ac:dyDescent="0.25">
      <c r="B10" s="9" t="s">
        <v>13</v>
      </c>
      <c r="C10" s="23">
        <f>'Indata och utdata'!C$13*I10/12</f>
        <v>29.166666666666668</v>
      </c>
      <c r="D10" s="21">
        <f>'Indata och utdata'!C$14*Säsongsvariationer!J10</f>
        <v>10.126582278481022</v>
      </c>
      <c r="E10" s="21">
        <f>'Indata och utdata'!C$15/12</f>
        <v>8.3333333333333339</v>
      </c>
      <c r="G10" s="23">
        <f t="shared" si="2"/>
        <v>39.293248945147688</v>
      </c>
      <c r="I10" s="23">
        <v>0.7</v>
      </c>
      <c r="J10" s="24">
        <f t="shared" si="0"/>
        <v>7.2332730560578729E-3</v>
      </c>
      <c r="M10" s="9">
        <v>16.2</v>
      </c>
      <c r="N10" s="9">
        <f t="shared" si="1"/>
        <v>0.80000000000000071</v>
      </c>
      <c r="R10" s="9">
        <f t="shared" si="3"/>
        <v>0.12682832948421865</v>
      </c>
      <c r="T10" s="9">
        <f>'Indata och utdata'!$C$26*Säsongsvariationer!R10</f>
        <v>49.610451201779156</v>
      </c>
      <c r="U10" s="9">
        <f>'Indata och utdata'!D$26*Säsongsvariationer!R10</f>
        <v>14.511056976520402</v>
      </c>
      <c r="X10" s="19"/>
      <c r="Y10" s="43">
        <v>1.9770000000000001</v>
      </c>
      <c r="Z10" s="19"/>
      <c r="AA10" s="19"/>
      <c r="AB10" s="23">
        <f>R10*'Indata och utdata'!D$28</f>
        <v>14.511056976520402</v>
      </c>
      <c r="AC10" s="23">
        <f>R10*'Indata och utdata'!C$28</f>
        <v>49.610451201779156</v>
      </c>
      <c r="AD10" s="23">
        <f t="shared" si="4"/>
        <v>8.3333333333333339</v>
      </c>
      <c r="AE10" s="23">
        <f t="shared" si="5"/>
        <v>29.166666666666668</v>
      </c>
      <c r="AF10" s="23">
        <f t="shared" si="6"/>
        <v>10.126582278481022</v>
      </c>
      <c r="AG10" s="23">
        <f t="shared" si="7"/>
        <v>6.1777236431870683</v>
      </c>
      <c r="AH10" s="23">
        <f t="shared" si="8"/>
        <v>10.317202256631466</v>
      </c>
    </row>
    <row r="11" spans="2:34" x14ac:dyDescent="0.25">
      <c r="B11" s="9" t="s">
        <v>14</v>
      </c>
      <c r="C11" s="23">
        <f>'Indata och utdata'!C$13*I11/12</f>
        <v>33.333333333333336</v>
      </c>
      <c r="D11" s="21">
        <f>'Indata och utdata'!C$14*Säsongsvariationer!J11</f>
        <v>53.164556962025308</v>
      </c>
      <c r="E11" s="21">
        <f>'Indata och utdata'!C$15/12</f>
        <v>8.3333333333333339</v>
      </c>
      <c r="G11" s="23">
        <f t="shared" si="2"/>
        <v>86.497890295358644</v>
      </c>
      <c r="I11" s="23">
        <v>0.8</v>
      </c>
      <c r="J11" s="24">
        <f t="shared" si="0"/>
        <v>3.7974683544303792E-2</v>
      </c>
      <c r="M11" s="9">
        <v>12.8</v>
      </c>
      <c r="N11" s="9">
        <f t="shared" si="1"/>
        <v>4.1999999999999993</v>
      </c>
      <c r="R11" s="9">
        <f t="shared" si="3"/>
        <v>8.8850397741852716E-2</v>
      </c>
      <c r="T11" s="9">
        <f>'Indata och utdata'!$C$26*Säsongsvariationer!R11</f>
        <v>34.754919026031423</v>
      </c>
      <c r="U11" s="9">
        <f>'Indata och utdata'!D$26*Säsongsvariationer!R11</f>
        <v>10.165813815114191</v>
      </c>
      <c r="X11" s="19"/>
      <c r="Y11" s="43">
        <v>1.385</v>
      </c>
      <c r="Z11" s="19"/>
      <c r="AA11" s="19"/>
      <c r="AB11" s="23">
        <f>R11*'Indata och utdata'!D$28</f>
        <v>10.165813815114191</v>
      </c>
      <c r="AC11" s="23">
        <f>R11*'Indata och utdata'!C$28</f>
        <v>34.754919026031423</v>
      </c>
      <c r="AD11" s="23">
        <f t="shared" si="4"/>
        <v>8.3333333333333339</v>
      </c>
      <c r="AE11" s="23">
        <f t="shared" si="5"/>
        <v>33.333333333333336</v>
      </c>
      <c r="AF11" s="23">
        <f t="shared" si="6"/>
        <v>1.4215856926980877</v>
      </c>
      <c r="AG11" s="23">
        <f t="shared" si="7"/>
        <v>1.8324804817808573</v>
      </c>
      <c r="AH11" s="23">
        <f t="shared" si="8"/>
        <v>0</v>
      </c>
    </row>
    <row r="12" spans="2:34" x14ac:dyDescent="0.25">
      <c r="B12" s="9" t="s">
        <v>15</v>
      </c>
      <c r="C12" s="23">
        <f>'Indata och utdata'!C$13*I12/12</f>
        <v>41.666666666666664</v>
      </c>
      <c r="D12" s="21">
        <f>'Indata och utdata'!C$14*Säsongsvariationer!J12</f>
        <v>100.00000000000001</v>
      </c>
      <c r="E12" s="21">
        <f>'Indata och utdata'!C$15/12</f>
        <v>8.3333333333333339</v>
      </c>
      <c r="G12" s="23">
        <f t="shared" si="2"/>
        <v>141.66666666666669</v>
      </c>
      <c r="I12" s="23">
        <v>1</v>
      </c>
      <c r="J12" s="24">
        <f t="shared" si="0"/>
        <v>7.1428571428571438E-2</v>
      </c>
      <c r="M12" s="9">
        <v>9.1</v>
      </c>
      <c r="N12" s="9">
        <f t="shared" si="1"/>
        <v>7.9</v>
      </c>
      <c r="R12" s="9">
        <f t="shared" si="3"/>
        <v>5.4593276879651022E-2</v>
      </c>
      <c r="T12" s="9">
        <f>'Indata och utdata'!$C$26*Säsongsvariationer!R12</f>
        <v>21.35482750263736</v>
      </c>
      <c r="U12" s="9">
        <f>'Indata och utdata'!D$26*Säsongsvariationer!R12</f>
        <v>6.2462870445214271</v>
      </c>
      <c r="X12" s="19"/>
      <c r="Y12" s="43">
        <v>0.85099999999999998</v>
      </c>
      <c r="Z12" s="19"/>
      <c r="AA12" s="19"/>
      <c r="AB12" s="23">
        <f>R12*'Indata och utdata'!D$28</f>
        <v>6.2462870445214271</v>
      </c>
      <c r="AC12" s="23">
        <f>R12*'Indata och utdata'!C$28</f>
        <v>21.35482750263736</v>
      </c>
      <c r="AD12" s="23">
        <f t="shared" si="4"/>
        <v>6.2462870445214271</v>
      </c>
      <c r="AE12" s="23">
        <f t="shared" si="5"/>
        <v>21.35482750263736</v>
      </c>
      <c r="AF12" s="23">
        <f t="shared" si="6"/>
        <v>0</v>
      </c>
      <c r="AG12" s="23">
        <f t="shared" si="7"/>
        <v>0</v>
      </c>
      <c r="AH12" s="23">
        <f t="shared" si="8"/>
        <v>0</v>
      </c>
    </row>
    <row r="13" spans="2:34" x14ac:dyDescent="0.25">
      <c r="B13" s="9" t="s">
        <v>16</v>
      </c>
      <c r="C13" s="23">
        <f>'Indata och utdata'!C$13*I13/12</f>
        <v>45.833333333333336</v>
      </c>
      <c r="D13" s="21">
        <f>'Indata och utdata'!C$14*Säsongsvariationer!J13</f>
        <v>159.49367088607593</v>
      </c>
      <c r="E13" s="21">
        <f>'Indata och utdata'!C$15/12</f>
        <v>8.3333333333333339</v>
      </c>
      <c r="G13" s="23">
        <f t="shared" si="2"/>
        <v>205.32700421940928</v>
      </c>
      <c r="I13" s="23">
        <v>1.1000000000000001</v>
      </c>
      <c r="J13" s="24">
        <f t="shared" si="0"/>
        <v>0.11392405063291139</v>
      </c>
      <c r="M13" s="9">
        <v>4.4000000000000004</v>
      </c>
      <c r="N13" s="9">
        <f t="shared" si="1"/>
        <v>12.6</v>
      </c>
      <c r="R13" s="9">
        <f t="shared" si="3"/>
        <v>2.8355144983320507E-2</v>
      </c>
      <c r="T13" s="9">
        <f>'Indata och utdata'!$C$26*Säsongsvariationer!R13</f>
        <v>11.091461523108945</v>
      </c>
      <c r="U13" s="9">
        <f>'Indata och utdata'!D$26*Säsongsvariationer!R13</f>
        <v>3.2442524955093663</v>
      </c>
      <c r="X13" s="19"/>
      <c r="Y13" s="43">
        <v>0.442</v>
      </c>
      <c r="Z13" s="19"/>
      <c r="AA13" s="19"/>
      <c r="AB13" s="23">
        <f>R13*'Indata och utdata'!D$28</f>
        <v>3.2442524955093663</v>
      </c>
      <c r="AC13" s="23">
        <f>R13*'Indata och utdata'!C$28</f>
        <v>11.091461523108945</v>
      </c>
      <c r="AD13" s="23">
        <f t="shared" si="4"/>
        <v>3.2442524955093663</v>
      </c>
      <c r="AE13" s="23">
        <f t="shared" si="5"/>
        <v>11.091461523108945</v>
      </c>
      <c r="AF13" s="23">
        <f t="shared" si="6"/>
        <v>0</v>
      </c>
      <c r="AG13" s="23">
        <f t="shared" si="7"/>
        <v>0</v>
      </c>
      <c r="AH13" s="23">
        <f t="shared" si="8"/>
        <v>0</v>
      </c>
    </row>
    <row r="14" spans="2:34" x14ac:dyDescent="0.25">
      <c r="B14" s="9" t="s">
        <v>17</v>
      </c>
      <c r="C14" s="23">
        <f>'Indata och utdata'!C$13*I14/12</f>
        <v>50</v>
      </c>
      <c r="D14" s="21">
        <f>'Indata och utdata'!C$14*Säsongsvariationer!J14</f>
        <v>202.53164556962025</v>
      </c>
      <c r="E14" s="21">
        <f>'Indata och utdata'!C$15/12</f>
        <v>8.3333333333333339</v>
      </c>
      <c r="G14" s="23">
        <f t="shared" si="2"/>
        <v>252.53164556962025</v>
      </c>
      <c r="I14" s="23">
        <v>1.2</v>
      </c>
      <c r="J14" s="24">
        <f t="shared" si="0"/>
        <v>0.14466546112115733</v>
      </c>
      <c r="M14" s="9">
        <v>1</v>
      </c>
      <c r="N14" s="9">
        <f t="shared" si="1"/>
        <v>16</v>
      </c>
      <c r="R14" s="9">
        <f t="shared" si="3"/>
        <v>1.712856043110085E-2</v>
      </c>
      <c r="T14" s="9">
        <f>'Indata och utdata'!$C$26*Säsongsvariationer!R14</f>
        <v>6.7000457616970337</v>
      </c>
      <c r="U14" s="9">
        <f>'Indata och utdata'!D$26*Säsongsvariationer!R14</f>
        <v>1.9597633852963821</v>
      </c>
      <c r="X14" s="19"/>
      <c r="Y14" s="43">
        <v>0.26700000000000002</v>
      </c>
      <c r="Z14" s="19"/>
      <c r="AA14" s="19"/>
      <c r="AB14" s="23">
        <f>R14*'Indata och utdata'!D$28</f>
        <v>1.9597633852963821</v>
      </c>
      <c r="AC14" s="23">
        <f>R14*'Indata och utdata'!C$28</f>
        <v>6.7000457616970337</v>
      </c>
      <c r="AD14" s="23">
        <f t="shared" si="4"/>
        <v>1.9597633852963821</v>
      </c>
      <c r="AE14" s="23">
        <f t="shared" si="5"/>
        <v>6.7000457616970337</v>
      </c>
      <c r="AF14" s="23">
        <f t="shared" si="6"/>
        <v>0</v>
      </c>
      <c r="AG14" s="23">
        <f t="shared" si="7"/>
        <v>0</v>
      </c>
      <c r="AH14" s="23">
        <f t="shared" si="8"/>
        <v>0</v>
      </c>
    </row>
    <row r="15" spans="2:34" x14ac:dyDescent="0.25">
      <c r="X15" s="19"/>
      <c r="Y15" s="19">
        <f>SUM(Y3:Y14)</f>
        <v>15.587999999999997</v>
      </c>
      <c r="Z15" s="19"/>
      <c r="AA15" s="19"/>
    </row>
    <row r="16" spans="2:34" x14ac:dyDescent="0.25">
      <c r="R16" s="9">
        <f>MAX(R3:R14)</f>
        <v>0.14684372594303313</v>
      </c>
    </row>
    <row r="17" spans="5:32" ht="15.75" thickBot="1" x14ac:dyDescent="0.3">
      <c r="E17" s="21"/>
      <c r="H17" s="9" t="s">
        <v>100</v>
      </c>
    </row>
    <row r="18" spans="5:32" ht="15.75" thickBot="1" x14ac:dyDescent="0.3">
      <c r="K18" s="14"/>
      <c r="L18" s="12"/>
    </row>
    <row r="19" spans="5:32" ht="15.75" thickBot="1" x14ac:dyDescent="0.3">
      <c r="K19" s="14"/>
      <c r="L19" s="12"/>
      <c r="S19" s="9">
        <f>R3/R$16</f>
        <v>0.1489733508082132</v>
      </c>
    </row>
    <row r="20" spans="5:32" ht="15.75" thickBot="1" x14ac:dyDescent="0.3">
      <c r="K20" s="14"/>
      <c r="L20" s="12"/>
      <c r="Q20" s="9">
        <f>SUM(S19:S30)/12</f>
        <v>0.56749672346002622</v>
      </c>
      <c r="S20" s="9">
        <f t="shared" ref="S20:S30" si="9">R4/R$16</f>
        <v>0.31323722149410221</v>
      </c>
      <c r="W20" s="14" t="s">
        <v>102</v>
      </c>
      <c r="X20" s="11"/>
      <c r="Y20" s="11"/>
      <c r="Z20" s="11"/>
      <c r="AA20" s="12"/>
    </row>
    <row r="21" spans="5:32" ht="15.75" thickBot="1" x14ac:dyDescent="0.3">
      <c r="K21" s="14"/>
      <c r="L21" s="12"/>
      <c r="S21" s="9">
        <f t="shared" si="9"/>
        <v>0.53560506771515948</v>
      </c>
      <c r="W21" s="13" t="s">
        <v>103</v>
      </c>
      <c r="X21" s="10"/>
      <c r="Y21" s="10"/>
      <c r="Z21" s="10"/>
      <c r="AA21" s="15"/>
      <c r="AF21" s="9" t="s">
        <v>90</v>
      </c>
    </row>
    <row r="22" spans="5:32" ht="15.75" thickBot="1" x14ac:dyDescent="0.3">
      <c r="K22" s="14"/>
      <c r="L22" s="12"/>
      <c r="S22" s="9">
        <f t="shared" si="9"/>
        <v>0.74574049803407605</v>
      </c>
      <c r="W22" s="13"/>
      <c r="X22" s="10">
        <f>I3/Y3</f>
        <v>3.8123167155425217</v>
      </c>
      <c r="Y22" s="10"/>
      <c r="Z22" s="10">
        <f>X$35*Y3</f>
        <v>9.1955056179775285E-2</v>
      </c>
      <c r="AA22" s="15"/>
      <c r="AF22" s="25">
        <f>SUM(AG3:AG14)</f>
        <v>36.865659577880429</v>
      </c>
    </row>
    <row r="23" spans="5:32" ht="15.75" thickBot="1" x14ac:dyDescent="0.3">
      <c r="K23" s="14"/>
      <c r="L23" s="12"/>
      <c r="S23" s="9">
        <f t="shared" si="9"/>
        <v>0.94408038444735698</v>
      </c>
      <c r="W23" s="13"/>
      <c r="X23" s="10">
        <f t="shared" ref="X23:X33" si="10">I4/Y4</f>
        <v>1.6736401673640167</v>
      </c>
      <c r="Y23" s="10"/>
      <c r="Z23" s="10">
        <f t="shared" ref="Z23:Z33" si="11">X$35*Y4</f>
        <v>0.19334831460674157</v>
      </c>
      <c r="AA23" s="15"/>
      <c r="AF23" s="9" t="s">
        <v>91</v>
      </c>
    </row>
    <row r="24" spans="5:32" ht="15.75" thickBot="1" x14ac:dyDescent="0.3">
      <c r="K24" s="14"/>
      <c r="L24" s="12"/>
      <c r="S24" s="9">
        <f t="shared" si="9"/>
        <v>1</v>
      </c>
      <c r="W24" s="13"/>
      <c r="X24" s="10">
        <f t="shared" si="10"/>
        <v>1.0603588907014683</v>
      </c>
      <c r="Y24" s="10"/>
      <c r="Z24" s="10">
        <f t="shared" si="11"/>
        <v>0.33060674157303371</v>
      </c>
      <c r="AA24" s="15"/>
      <c r="AF24" s="25">
        <f>SUM(E3:E14)-SUM(AD3:AD14)</f>
        <v>22.450709577880389</v>
      </c>
    </row>
    <row r="25" spans="5:32" ht="15.75" thickBot="1" x14ac:dyDescent="0.3">
      <c r="K25" s="14"/>
      <c r="L25" s="12"/>
      <c r="P25" s="9">
        <f>I9/R9</f>
        <v>4.2035056179775276</v>
      </c>
      <c r="S25" s="9">
        <f t="shared" si="9"/>
        <v>0.97204019222367843</v>
      </c>
      <c r="W25" s="13"/>
      <c r="X25" s="10">
        <f t="shared" si="10"/>
        <v>0.64440538957234916</v>
      </c>
      <c r="Y25" s="10"/>
      <c r="Z25" s="10">
        <f t="shared" si="11"/>
        <v>0.46031460674157304</v>
      </c>
      <c r="AA25" s="15"/>
      <c r="AF25" s="9" t="s">
        <v>92</v>
      </c>
    </row>
    <row r="26" spans="5:32" ht="15.75" thickBot="1" x14ac:dyDescent="0.3">
      <c r="K26" s="14"/>
      <c r="L26" s="12"/>
      <c r="S26" s="9">
        <f t="shared" si="9"/>
        <v>0.86369593709043246</v>
      </c>
      <c r="W26" s="13"/>
      <c r="X26" s="10">
        <f t="shared" si="10"/>
        <v>0.41647385469689957</v>
      </c>
      <c r="Y26" s="10"/>
      <c r="Z26" s="10">
        <f t="shared" si="11"/>
        <v>0.58274157303370788</v>
      </c>
      <c r="AA26" s="15"/>
      <c r="AF26" s="25">
        <f>AF24-AF22+0.1</f>
        <v>-14.31495000000004</v>
      </c>
    </row>
    <row r="27" spans="5:32" ht="15.75" thickBot="1" x14ac:dyDescent="0.3">
      <c r="K27" s="14"/>
      <c r="L27" s="12"/>
      <c r="S27" s="9">
        <f t="shared" si="9"/>
        <v>0.60506771515945823</v>
      </c>
      <c r="W27" s="13"/>
      <c r="X27" s="10">
        <f t="shared" si="10"/>
        <v>0.34949759720401924</v>
      </c>
      <c r="Y27" s="10"/>
      <c r="Z27" s="10">
        <f t="shared" si="11"/>
        <v>0.61725842696629218</v>
      </c>
      <c r="AA27" s="15"/>
    </row>
    <row r="28" spans="5:32" ht="15.75" thickBot="1" x14ac:dyDescent="0.3">
      <c r="K28" s="14"/>
      <c r="L28" s="12"/>
      <c r="S28" s="9">
        <f t="shared" si="9"/>
        <v>0.37177806902577543</v>
      </c>
      <c r="W28" s="13"/>
      <c r="X28" s="10">
        <f t="shared" si="10"/>
        <v>0.2696629213483146</v>
      </c>
      <c r="Y28" s="10"/>
      <c r="Z28" s="10">
        <f t="shared" si="11"/>
        <v>0.6</v>
      </c>
      <c r="AA28" s="15"/>
    </row>
    <row r="29" spans="5:32" ht="15.75" thickBot="1" x14ac:dyDescent="0.3">
      <c r="K29" s="41"/>
      <c r="L29" s="42"/>
      <c r="S29" s="9">
        <f t="shared" si="9"/>
        <v>0.1930974224552206</v>
      </c>
      <c r="W29" s="13"/>
      <c r="X29" s="10">
        <f t="shared" si="10"/>
        <v>0.35407182599898834</v>
      </c>
      <c r="Y29" s="10"/>
      <c r="Z29" s="10">
        <f t="shared" si="11"/>
        <v>0.53312359550561794</v>
      </c>
      <c r="AA29" s="15"/>
    </row>
    <row r="30" spans="5:32" x14ac:dyDescent="0.25">
      <c r="S30" s="9">
        <f t="shared" si="9"/>
        <v>0.11664482306684142</v>
      </c>
      <c r="W30" s="13"/>
      <c r="X30" s="10">
        <f t="shared" si="10"/>
        <v>0.57761732851985559</v>
      </c>
      <c r="Y30" s="10"/>
      <c r="Z30" s="10">
        <f t="shared" si="11"/>
        <v>0.37348314606741573</v>
      </c>
      <c r="AA30" s="15"/>
    </row>
    <row r="31" spans="5:32" x14ac:dyDescent="0.25">
      <c r="W31" s="13"/>
      <c r="X31" s="10">
        <f t="shared" si="10"/>
        <v>1.1750881316098707</v>
      </c>
      <c r="Y31" s="10"/>
      <c r="Z31" s="10">
        <f t="shared" si="11"/>
        <v>0.22948314606741571</v>
      </c>
      <c r="AA31" s="15"/>
    </row>
    <row r="32" spans="5:32" x14ac:dyDescent="0.25">
      <c r="W32" s="13"/>
      <c r="X32" s="10">
        <f t="shared" si="10"/>
        <v>2.4886877828054299</v>
      </c>
      <c r="Y32" s="10"/>
      <c r="Z32" s="10">
        <f t="shared" si="11"/>
        <v>0.11919101123595506</v>
      </c>
      <c r="AA32" s="15"/>
    </row>
    <row r="33" spans="23:27" x14ac:dyDescent="0.25">
      <c r="W33" s="13"/>
      <c r="X33" s="10">
        <f t="shared" si="10"/>
        <v>4.4943820224719095</v>
      </c>
      <c r="Y33" s="10"/>
      <c r="Z33" s="10">
        <f t="shared" si="11"/>
        <v>7.2000000000000008E-2</v>
      </c>
      <c r="AA33" s="15"/>
    </row>
    <row r="34" spans="23:27" x14ac:dyDescent="0.25">
      <c r="W34" s="13"/>
      <c r="X34" s="10"/>
      <c r="Y34" s="10"/>
      <c r="Z34" s="10"/>
      <c r="AA34" s="15"/>
    </row>
    <row r="35" spans="23:27" x14ac:dyDescent="0.25">
      <c r="W35" s="13"/>
      <c r="X35" s="10">
        <f>MIN(X22:X33)</f>
        <v>0.2696629213483146</v>
      </c>
      <c r="Y35" s="10"/>
      <c r="Z35" s="10">
        <f>SUM(Z22:Z33)/SUM(I3:I14)</f>
        <v>0.35029213483146071</v>
      </c>
      <c r="AA35" s="15"/>
    </row>
    <row r="36" spans="23:27" ht="15.75" thickBot="1" x14ac:dyDescent="0.3">
      <c r="W36" s="17"/>
      <c r="X36" s="18"/>
      <c r="Y36" s="18"/>
      <c r="Z36" s="18"/>
      <c r="AA36" s="40"/>
    </row>
  </sheetData>
  <sheetProtection password="C713" sheet="1" objects="1" scenarios="1"/>
  <mergeCells count="3">
    <mergeCell ref="AG1:AH1"/>
    <mergeCell ref="AB1:AC1"/>
    <mergeCell ref="AD1:A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8"/>
  <sheetViews>
    <sheetView workbookViewId="0">
      <selection activeCell="E8" sqref="E8"/>
    </sheetView>
  </sheetViews>
  <sheetFormatPr defaultRowHeight="15" x14ac:dyDescent="0.25"/>
  <cols>
    <col min="1" max="3" width="9.140625" style="9"/>
    <col min="4" max="4" width="28.140625" style="9" customWidth="1"/>
    <col min="5" max="5" width="12.7109375" style="9" bestFit="1" customWidth="1"/>
    <col min="6" max="16384" width="9.140625" style="9"/>
  </cols>
  <sheetData>
    <row r="4" spans="4:6" x14ac:dyDescent="0.25">
      <c r="D4" s="9" t="s">
        <v>54</v>
      </c>
      <c r="E4" s="22">
        <v>0.04</v>
      </c>
    </row>
    <row r="5" spans="4:6" x14ac:dyDescent="0.25">
      <c r="D5" s="9" t="s">
        <v>53</v>
      </c>
      <c r="E5" s="25">
        <f>E4/(1-(1+E4)^-Komponentparametrar!C6)</f>
        <v>6.401196278645456E-2</v>
      </c>
    </row>
    <row r="6" spans="4:6" x14ac:dyDescent="0.25">
      <c r="D6" s="9" t="s">
        <v>68</v>
      </c>
      <c r="E6" s="22">
        <v>0.02</v>
      </c>
    </row>
    <row r="7" spans="4:6" x14ac:dyDescent="0.25">
      <c r="D7" s="9" t="s">
        <v>69</v>
      </c>
      <c r="E7" s="22">
        <v>0.02</v>
      </c>
    </row>
    <row r="8" spans="4:6" x14ac:dyDescent="0.25">
      <c r="D8" s="9" t="s">
        <v>88</v>
      </c>
      <c r="E8" s="26">
        <f>Inställningar!G11</f>
        <v>3000</v>
      </c>
      <c r="F8" s="9" t="s">
        <v>89</v>
      </c>
    </row>
  </sheetData>
  <sheetProtection password="C713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"/>
  <sheetViews>
    <sheetView workbookViewId="0">
      <selection activeCell="C6" sqref="C6"/>
    </sheetView>
  </sheetViews>
  <sheetFormatPr defaultRowHeight="15" x14ac:dyDescent="0.25"/>
  <cols>
    <col min="2" max="2" width="55.85546875" customWidth="1"/>
    <col min="3" max="3" width="14.140625" customWidth="1"/>
    <col min="5" max="5" width="52.5703125" customWidth="1"/>
    <col min="6" max="6" width="15.85546875" customWidth="1"/>
  </cols>
  <sheetData>
    <row r="1" spans="2:6" ht="15.75" thickBot="1" x14ac:dyDescent="0.3"/>
    <row r="2" spans="2:6" x14ac:dyDescent="0.25">
      <c r="B2" s="1" t="s">
        <v>20</v>
      </c>
      <c r="C2" s="2"/>
      <c r="E2" s="1" t="s">
        <v>23</v>
      </c>
      <c r="F2" s="2"/>
    </row>
    <row r="3" spans="2:6" x14ac:dyDescent="0.25">
      <c r="B3" s="3" t="s">
        <v>21</v>
      </c>
      <c r="C3" s="4">
        <f>Inställningar!G13</f>
        <v>6000</v>
      </c>
      <c r="E3" s="3" t="s">
        <v>24</v>
      </c>
      <c r="F3" s="4">
        <f>Inställningar!G12</f>
        <v>16</v>
      </c>
    </row>
    <row r="4" spans="2:6" x14ac:dyDescent="0.25">
      <c r="B4" s="3" t="s">
        <v>22</v>
      </c>
      <c r="C4" s="4">
        <f>Inställningar!G17</f>
        <v>400</v>
      </c>
      <c r="E4" s="3" t="s">
        <v>25</v>
      </c>
      <c r="F4" s="4">
        <f>Inställningar!G16</f>
        <v>0.9</v>
      </c>
    </row>
    <row r="5" spans="2:6" x14ac:dyDescent="0.25">
      <c r="B5" s="3"/>
      <c r="C5" s="5"/>
      <c r="E5" s="3" t="s">
        <v>26</v>
      </c>
      <c r="F5" s="4">
        <f>Inställningar!G15</f>
        <v>130</v>
      </c>
    </row>
    <row r="6" spans="2:6" x14ac:dyDescent="0.25">
      <c r="B6" s="3" t="s">
        <v>27</v>
      </c>
      <c r="C6" s="4">
        <v>25</v>
      </c>
      <c r="E6" s="3" t="s">
        <v>27</v>
      </c>
      <c r="F6" s="4">
        <v>25</v>
      </c>
    </row>
    <row r="7" spans="2:6" ht="15.75" thickBot="1" x14ac:dyDescent="0.3">
      <c r="B7" s="7" t="s">
        <v>46</v>
      </c>
      <c r="C7" s="8">
        <v>0.01</v>
      </c>
      <c r="E7" s="7" t="s">
        <v>46</v>
      </c>
      <c r="F7" s="44">
        <v>7.4999999999999997E-3</v>
      </c>
    </row>
    <row r="8" spans="2:6" x14ac:dyDescent="0.25">
      <c r="E8" s="6" t="s">
        <v>21</v>
      </c>
      <c r="F8">
        <f>F5*F3</f>
        <v>2080</v>
      </c>
    </row>
  </sheetData>
  <sheetProtection password="C713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66"/>
  <sheetViews>
    <sheetView topLeftCell="A43" zoomScaleNormal="100" workbookViewId="0">
      <selection activeCell="H21" sqref="H21"/>
    </sheetView>
  </sheetViews>
  <sheetFormatPr defaultRowHeight="15" x14ac:dyDescent="0.25"/>
  <cols>
    <col min="1" max="6" width="9.140625" style="9"/>
    <col min="7" max="9" width="12.28515625" style="9" bestFit="1" customWidth="1"/>
    <col min="10" max="10" width="15" style="9" bestFit="1" customWidth="1"/>
    <col min="11" max="17" width="9.140625" style="9"/>
    <col min="18" max="18" width="15" style="9" bestFit="1" customWidth="1"/>
    <col min="19" max="16384" width="9.140625" style="9"/>
  </cols>
  <sheetData>
    <row r="3" spans="2:18" ht="15.75" thickBot="1" x14ac:dyDescent="0.3">
      <c r="D3" s="123" t="s">
        <v>33</v>
      </c>
      <c r="E3" s="123"/>
      <c r="F3" s="123"/>
      <c r="I3" s="26"/>
    </row>
    <row r="4" spans="2:18" x14ac:dyDescent="0.25">
      <c r="C4" s="14" t="s">
        <v>34</v>
      </c>
      <c r="D4" s="11">
        <v>0</v>
      </c>
      <c r="E4" s="11">
        <v>45</v>
      </c>
      <c r="F4" s="12">
        <v>90</v>
      </c>
      <c r="H4" s="26">
        <f t="shared" ref="H4:H10" si="0">IF($Q$7&gt;45,$E4,$D4)</f>
        <v>45</v>
      </c>
      <c r="I4" s="26">
        <f t="shared" ref="I4:I10" si="1">IF($Q$7&gt;45,$F4,$E4)</f>
        <v>90</v>
      </c>
      <c r="M4" s="26"/>
      <c r="N4" s="26"/>
    </row>
    <row r="5" spans="2:18" x14ac:dyDescent="0.25">
      <c r="C5" s="13">
        <v>0</v>
      </c>
      <c r="D5" s="27">
        <v>0.84</v>
      </c>
      <c r="E5" s="27">
        <v>0.84</v>
      </c>
      <c r="F5" s="28">
        <v>0.84</v>
      </c>
      <c r="H5" s="22">
        <f t="shared" si="0"/>
        <v>0.84</v>
      </c>
      <c r="I5" s="22">
        <f t="shared" si="1"/>
        <v>0.84</v>
      </c>
      <c r="M5" s="22"/>
      <c r="N5" s="22"/>
    </row>
    <row r="6" spans="2:18" x14ac:dyDescent="0.25">
      <c r="B6" s="9">
        <v>0</v>
      </c>
      <c r="C6" s="13">
        <v>15</v>
      </c>
      <c r="D6" s="27">
        <v>0.94</v>
      </c>
      <c r="E6" s="27">
        <v>0.91</v>
      </c>
      <c r="F6" s="28">
        <v>0.83</v>
      </c>
      <c r="H6" s="22">
        <f t="shared" si="0"/>
        <v>0.91</v>
      </c>
      <c r="I6" s="22">
        <f t="shared" si="1"/>
        <v>0.83</v>
      </c>
      <c r="M6" s="22"/>
      <c r="N6" s="22"/>
      <c r="P6" s="9" t="s">
        <v>30</v>
      </c>
      <c r="Q6" s="9" t="s">
        <v>31</v>
      </c>
      <c r="R6" s="9" t="s">
        <v>32</v>
      </c>
    </row>
    <row r="7" spans="2:18" x14ac:dyDescent="0.25">
      <c r="B7" s="9">
        <v>15</v>
      </c>
      <c r="C7" s="13">
        <v>30</v>
      </c>
      <c r="D7" s="27">
        <v>0.99</v>
      </c>
      <c r="E7" s="27">
        <v>0.94</v>
      </c>
      <c r="F7" s="28">
        <v>0.8</v>
      </c>
      <c r="H7" s="22">
        <f t="shared" si="0"/>
        <v>0.94</v>
      </c>
      <c r="I7" s="22">
        <f t="shared" si="1"/>
        <v>0.8</v>
      </c>
      <c r="M7" s="22"/>
      <c r="N7" s="22"/>
      <c r="O7" s="9">
        <v>1</v>
      </c>
      <c r="P7" s="9">
        <f>'Indata och utdata'!C18</f>
        <v>45</v>
      </c>
      <c r="Q7" s="9">
        <f>'Indata och utdata'!D18</f>
        <v>90</v>
      </c>
      <c r="R7" s="22">
        <f>IF(P7=0,1,TREND(J13:J14,G13:G14,P7))</f>
        <v>0.77</v>
      </c>
    </row>
    <row r="8" spans="2:18" x14ac:dyDescent="0.25">
      <c r="B8" s="9">
        <v>30</v>
      </c>
      <c r="C8" s="13">
        <v>45</v>
      </c>
      <c r="D8" s="27">
        <v>1</v>
      </c>
      <c r="E8" s="27">
        <v>0.94</v>
      </c>
      <c r="F8" s="28">
        <v>0.77</v>
      </c>
      <c r="H8" s="22">
        <f t="shared" si="0"/>
        <v>0.94</v>
      </c>
      <c r="I8" s="22">
        <f t="shared" si="1"/>
        <v>0.77</v>
      </c>
      <c r="M8" s="22"/>
      <c r="N8" s="22"/>
      <c r="O8" s="9">
        <v>2</v>
      </c>
      <c r="P8" s="9">
        <f>'Indata och utdata'!C19</f>
        <v>30</v>
      </c>
      <c r="Q8" s="9">
        <f>'Indata och utdata'!D19</f>
        <v>45</v>
      </c>
      <c r="R8" s="22">
        <f>IF(P8=0,1,TREND(J26:J27,G26:G27,P8))</f>
        <v>0.94</v>
      </c>
    </row>
    <row r="9" spans="2:18" x14ac:dyDescent="0.25">
      <c r="B9" s="9">
        <v>45</v>
      </c>
      <c r="C9" s="13">
        <v>60</v>
      </c>
      <c r="D9" s="27">
        <v>0.96</v>
      </c>
      <c r="E9" s="27">
        <v>0.89</v>
      </c>
      <c r="F9" s="28">
        <v>0.71</v>
      </c>
      <c r="H9" s="22">
        <f t="shared" si="0"/>
        <v>0.89</v>
      </c>
      <c r="I9" s="22">
        <f t="shared" si="1"/>
        <v>0.71</v>
      </c>
      <c r="M9" s="22"/>
      <c r="N9" s="22"/>
      <c r="O9" s="9">
        <v>3</v>
      </c>
      <c r="P9" s="9">
        <f>'Indata och utdata'!C20</f>
        <v>90</v>
      </c>
      <c r="Q9" s="9">
        <f>'Indata och utdata'!D20</f>
        <v>0</v>
      </c>
      <c r="R9" s="22">
        <f>IF(P9=0,1,TREND(J39:J40,G39:G40,P9))</f>
        <v>0.75</v>
      </c>
    </row>
    <row r="10" spans="2:18" ht="15.75" thickBot="1" x14ac:dyDescent="0.3">
      <c r="B10" s="9">
        <v>60</v>
      </c>
      <c r="C10" s="17">
        <v>90</v>
      </c>
      <c r="D10" s="29">
        <v>0.75</v>
      </c>
      <c r="E10" s="29">
        <v>0.7</v>
      </c>
      <c r="F10" s="30">
        <v>0.56000000000000005</v>
      </c>
      <c r="H10" s="22">
        <f t="shared" si="0"/>
        <v>0.7</v>
      </c>
      <c r="I10" s="22">
        <f t="shared" si="1"/>
        <v>0.56000000000000005</v>
      </c>
      <c r="M10" s="22"/>
      <c r="N10" s="22"/>
      <c r="O10" s="9">
        <v>4</v>
      </c>
      <c r="P10" s="9">
        <f>'Indata och utdata'!C21</f>
        <v>30</v>
      </c>
      <c r="Q10" s="9">
        <f>'Indata och utdata'!D21</f>
        <v>10</v>
      </c>
      <c r="R10" s="22">
        <f>IF(P10=0,1,TREND(J52:J53,G52:G53,P10))</f>
        <v>0.97888888888888892</v>
      </c>
    </row>
    <row r="11" spans="2:18" ht="15.75" thickBot="1" x14ac:dyDescent="0.3">
      <c r="O11" s="9">
        <v>5</v>
      </c>
      <c r="P11" s="9">
        <f>'Indata och utdata'!C22</f>
        <v>0</v>
      </c>
      <c r="Q11" s="9">
        <f>'Indata och utdata'!D22</f>
        <v>0</v>
      </c>
      <c r="R11" s="22">
        <f>IF(P11=0,1,TREND(J65:J66,G65:G66,P11))</f>
        <v>1</v>
      </c>
    </row>
    <row r="12" spans="2:18" ht="15.75" thickBot="1" x14ac:dyDescent="0.3">
      <c r="H12" s="31">
        <f>H4</f>
        <v>45</v>
      </c>
      <c r="I12" s="32">
        <f>I4</f>
        <v>90</v>
      </c>
    </row>
    <row r="13" spans="2:18" x14ac:dyDescent="0.25">
      <c r="G13" s="33">
        <f>VLOOKUP(P7,B5:H10,1)</f>
        <v>45</v>
      </c>
      <c r="H13" s="34">
        <f>VLOOKUP(P7,C5:I10,6)</f>
        <v>0.94</v>
      </c>
      <c r="I13" s="35">
        <f>VLOOKUP(P7,C5:I10,7)</f>
        <v>0.77</v>
      </c>
      <c r="J13" s="22">
        <f>TREND(H13:I13,H$12:I$12,Q$7)</f>
        <v>0.77</v>
      </c>
    </row>
    <row r="14" spans="2:18" ht="15.75" thickBot="1" x14ac:dyDescent="0.3">
      <c r="G14" s="36">
        <f>VLOOKUP(P7,B5:I10,2)</f>
        <v>60</v>
      </c>
      <c r="H14" s="37">
        <f>VLOOKUP(P7,B5:I10,7)</f>
        <v>0.89</v>
      </c>
      <c r="I14" s="30">
        <f>VLOOKUP(P7,B5:I10,8)</f>
        <v>0.71</v>
      </c>
      <c r="J14" s="22">
        <f>TREND(H14:I14,H$12:I$12,Q$7)</f>
        <v>0.71000000000000008</v>
      </c>
    </row>
    <row r="16" spans="2:18" ht="15.75" thickBot="1" x14ac:dyDescent="0.3">
      <c r="D16" s="123" t="s">
        <v>33</v>
      </c>
      <c r="E16" s="123"/>
      <c r="F16" s="123"/>
      <c r="I16" s="26"/>
    </row>
    <row r="17" spans="2:10" x14ac:dyDescent="0.25">
      <c r="C17" s="14" t="s">
        <v>34</v>
      </c>
      <c r="D17" s="11">
        <v>0</v>
      </c>
      <c r="E17" s="11">
        <v>45</v>
      </c>
      <c r="F17" s="12">
        <v>90</v>
      </c>
      <c r="H17" s="26">
        <f t="shared" ref="H17:H23" si="2">IF($Q$8&gt;45,$E17,$D17)</f>
        <v>0</v>
      </c>
      <c r="I17" s="26">
        <f t="shared" ref="I17:I23" si="3">IF($Q$8&gt;45,$F17,$E17)</f>
        <v>45</v>
      </c>
    </row>
    <row r="18" spans="2:10" x14ac:dyDescent="0.25">
      <c r="C18" s="13">
        <v>0</v>
      </c>
      <c r="D18" s="27">
        <v>0.84</v>
      </c>
      <c r="E18" s="27">
        <v>0.84</v>
      </c>
      <c r="F18" s="28">
        <v>0.84</v>
      </c>
      <c r="H18" s="22">
        <f t="shared" si="2"/>
        <v>0.84</v>
      </c>
      <c r="I18" s="22">
        <f t="shared" si="3"/>
        <v>0.84</v>
      </c>
    </row>
    <row r="19" spans="2:10" x14ac:dyDescent="0.25">
      <c r="B19" s="9">
        <v>0</v>
      </c>
      <c r="C19" s="13">
        <v>15</v>
      </c>
      <c r="D19" s="27">
        <v>0.94</v>
      </c>
      <c r="E19" s="27">
        <v>0.91</v>
      </c>
      <c r="F19" s="28">
        <v>0.83</v>
      </c>
      <c r="H19" s="22">
        <f t="shared" si="2"/>
        <v>0.94</v>
      </c>
      <c r="I19" s="22">
        <f t="shared" si="3"/>
        <v>0.91</v>
      </c>
    </row>
    <row r="20" spans="2:10" x14ac:dyDescent="0.25">
      <c r="B20" s="9">
        <v>15</v>
      </c>
      <c r="C20" s="13">
        <v>30</v>
      </c>
      <c r="D20" s="27">
        <v>0.99</v>
      </c>
      <c r="E20" s="27">
        <v>0.94</v>
      </c>
      <c r="F20" s="28">
        <v>0.8</v>
      </c>
      <c r="H20" s="22">
        <f t="shared" si="2"/>
        <v>0.99</v>
      </c>
      <c r="I20" s="22">
        <f t="shared" si="3"/>
        <v>0.94</v>
      </c>
    </row>
    <row r="21" spans="2:10" x14ac:dyDescent="0.25">
      <c r="B21" s="9">
        <v>30</v>
      </c>
      <c r="C21" s="13">
        <v>45</v>
      </c>
      <c r="D21" s="27">
        <v>1</v>
      </c>
      <c r="E21" s="27">
        <v>0.94</v>
      </c>
      <c r="F21" s="28">
        <v>0.77</v>
      </c>
      <c r="H21" s="22">
        <f t="shared" si="2"/>
        <v>1</v>
      </c>
      <c r="I21" s="22">
        <f t="shared" si="3"/>
        <v>0.94</v>
      </c>
    </row>
    <row r="22" spans="2:10" x14ac:dyDescent="0.25">
      <c r="B22" s="9">
        <v>45</v>
      </c>
      <c r="C22" s="13">
        <v>60</v>
      </c>
      <c r="D22" s="27">
        <v>0.96</v>
      </c>
      <c r="E22" s="27">
        <v>0.89</v>
      </c>
      <c r="F22" s="28">
        <v>0.71</v>
      </c>
      <c r="H22" s="22">
        <f t="shared" si="2"/>
        <v>0.96</v>
      </c>
      <c r="I22" s="22">
        <f t="shared" si="3"/>
        <v>0.89</v>
      </c>
    </row>
    <row r="23" spans="2:10" ht="15.75" thickBot="1" x14ac:dyDescent="0.3">
      <c r="B23" s="9">
        <v>60</v>
      </c>
      <c r="C23" s="17">
        <v>90</v>
      </c>
      <c r="D23" s="29">
        <v>0.75</v>
      </c>
      <c r="E23" s="29">
        <v>0.7</v>
      </c>
      <c r="F23" s="30">
        <v>0.56000000000000005</v>
      </c>
      <c r="H23" s="22">
        <f t="shared" si="2"/>
        <v>0.75</v>
      </c>
      <c r="I23" s="22">
        <f t="shared" si="3"/>
        <v>0.7</v>
      </c>
    </row>
    <row r="24" spans="2:10" ht="15.75" thickBot="1" x14ac:dyDescent="0.3"/>
    <row r="25" spans="2:10" ht="15.75" thickBot="1" x14ac:dyDescent="0.3">
      <c r="H25" s="31">
        <f>H17</f>
        <v>0</v>
      </c>
      <c r="I25" s="32">
        <f>I17</f>
        <v>45</v>
      </c>
    </row>
    <row r="26" spans="2:10" x14ac:dyDescent="0.25">
      <c r="G26" s="33">
        <f>VLOOKUP(P8,B18:H23,1)</f>
        <v>30</v>
      </c>
      <c r="H26" s="34">
        <f>VLOOKUP(P8,C18:I23,6)</f>
        <v>0.99</v>
      </c>
      <c r="I26" s="35">
        <f>VLOOKUP(P8,C18:I23,7)</f>
        <v>0.94</v>
      </c>
      <c r="J26" s="22">
        <f>TREND(H26:I26,H$25:I$25,Q$8)</f>
        <v>0.94</v>
      </c>
    </row>
    <row r="27" spans="2:10" ht="15.75" thickBot="1" x14ac:dyDescent="0.3">
      <c r="G27" s="36">
        <f>VLOOKUP(P8,B18:I23,2)</f>
        <v>45</v>
      </c>
      <c r="H27" s="37">
        <f>VLOOKUP(P8,B18:I23,7)</f>
        <v>1</v>
      </c>
      <c r="I27" s="30">
        <f>VLOOKUP(P8,B18:I23,8)</f>
        <v>0.94</v>
      </c>
      <c r="J27" s="22">
        <f>TREND(H27:I27,H$25:I$25,Q$8)</f>
        <v>0.94</v>
      </c>
    </row>
    <row r="29" spans="2:10" ht="15.75" thickBot="1" x14ac:dyDescent="0.3">
      <c r="D29" s="123" t="s">
        <v>33</v>
      </c>
      <c r="E29" s="123"/>
      <c r="F29" s="123"/>
      <c r="I29" s="26"/>
    </row>
    <row r="30" spans="2:10" x14ac:dyDescent="0.25">
      <c r="C30" s="14" t="s">
        <v>34</v>
      </c>
      <c r="D30" s="11">
        <v>0</v>
      </c>
      <c r="E30" s="11">
        <v>45</v>
      </c>
      <c r="F30" s="12">
        <v>90</v>
      </c>
      <c r="H30" s="26">
        <f t="shared" ref="H30:H36" si="4">IF($Q$9&gt;45,$E30,$D30)</f>
        <v>0</v>
      </c>
      <c r="I30" s="26">
        <f t="shared" ref="I30:I36" si="5">IF($Q$9&gt;45,$F30,$E30)</f>
        <v>45</v>
      </c>
    </row>
    <row r="31" spans="2:10" x14ac:dyDescent="0.25">
      <c r="C31" s="13">
        <v>0</v>
      </c>
      <c r="D31" s="27">
        <v>0.84</v>
      </c>
      <c r="E31" s="27">
        <v>0.84</v>
      </c>
      <c r="F31" s="28">
        <v>0.84</v>
      </c>
      <c r="H31" s="22">
        <f t="shared" si="4"/>
        <v>0.84</v>
      </c>
      <c r="I31" s="22">
        <f t="shared" si="5"/>
        <v>0.84</v>
      </c>
    </row>
    <row r="32" spans="2:10" x14ac:dyDescent="0.25">
      <c r="B32" s="9">
        <v>0</v>
      </c>
      <c r="C32" s="13">
        <v>15</v>
      </c>
      <c r="D32" s="27">
        <v>0.94</v>
      </c>
      <c r="E32" s="27">
        <v>0.91</v>
      </c>
      <c r="F32" s="28">
        <v>0.83</v>
      </c>
      <c r="H32" s="22">
        <f t="shared" si="4"/>
        <v>0.94</v>
      </c>
      <c r="I32" s="22">
        <f t="shared" si="5"/>
        <v>0.91</v>
      </c>
    </row>
    <row r="33" spans="2:10" x14ac:dyDescent="0.25">
      <c r="B33" s="9">
        <v>15</v>
      </c>
      <c r="C33" s="13">
        <v>30</v>
      </c>
      <c r="D33" s="27">
        <v>0.99</v>
      </c>
      <c r="E33" s="27">
        <v>0.94</v>
      </c>
      <c r="F33" s="28">
        <v>0.8</v>
      </c>
      <c r="H33" s="22">
        <f t="shared" si="4"/>
        <v>0.99</v>
      </c>
      <c r="I33" s="22">
        <f t="shared" si="5"/>
        <v>0.94</v>
      </c>
    </row>
    <row r="34" spans="2:10" x14ac:dyDescent="0.25">
      <c r="B34" s="9">
        <v>30</v>
      </c>
      <c r="C34" s="13">
        <v>45</v>
      </c>
      <c r="D34" s="27">
        <v>1</v>
      </c>
      <c r="E34" s="27">
        <v>0.94</v>
      </c>
      <c r="F34" s="28">
        <v>0.77</v>
      </c>
      <c r="H34" s="22">
        <f t="shared" si="4"/>
        <v>1</v>
      </c>
      <c r="I34" s="22">
        <f t="shared" si="5"/>
        <v>0.94</v>
      </c>
    </row>
    <row r="35" spans="2:10" x14ac:dyDescent="0.25">
      <c r="B35" s="9">
        <v>45</v>
      </c>
      <c r="C35" s="13">
        <v>60</v>
      </c>
      <c r="D35" s="27">
        <v>0.96</v>
      </c>
      <c r="E35" s="27">
        <v>0.89</v>
      </c>
      <c r="F35" s="28">
        <v>0.71</v>
      </c>
      <c r="H35" s="22">
        <f t="shared" si="4"/>
        <v>0.96</v>
      </c>
      <c r="I35" s="22">
        <f t="shared" si="5"/>
        <v>0.89</v>
      </c>
    </row>
    <row r="36" spans="2:10" ht="15.75" thickBot="1" x14ac:dyDescent="0.3">
      <c r="B36" s="9">
        <v>60</v>
      </c>
      <c r="C36" s="17">
        <v>90</v>
      </c>
      <c r="D36" s="29">
        <v>0.75</v>
      </c>
      <c r="E36" s="29">
        <v>0.7</v>
      </c>
      <c r="F36" s="30">
        <v>0.56000000000000005</v>
      </c>
      <c r="H36" s="22">
        <f t="shared" si="4"/>
        <v>0.75</v>
      </c>
      <c r="I36" s="22">
        <f t="shared" si="5"/>
        <v>0.7</v>
      </c>
    </row>
    <row r="37" spans="2:10" ht="15.75" thickBot="1" x14ac:dyDescent="0.3"/>
    <row r="38" spans="2:10" ht="15.75" thickBot="1" x14ac:dyDescent="0.3">
      <c r="H38" s="31">
        <f>H30</f>
        <v>0</v>
      </c>
      <c r="I38" s="32">
        <f>I30</f>
        <v>45</v>
      </c>
    </row>
    <row r="39" spans="2:10" x14ac:dyDescent="0.25">
      <c r="G39" s="33">
        <f>VLOOKUP(P9,B31:H36,1)</f>
        <v>60</v>
      </c>
      <c r="H39" s="34">
        <f>VLOOKUP(P9,C31:I36,6)</f>
        <v>0.75</v>
      </c>
      <c r="I39" s="35">
        <f>VLOOKUP(P9,C31:I36,7)</f>
        <v>0.7</v>
      </c>
      <c r="J39" s="22">
        <f>TREND(H39:I39,H$38:I$38,Q$9)</f>
        <v>0.75</v>
      </c>
    </row>
    <row r="40" spans="2:10" ht="15.75" thickBot="1" x14ac:dyDescent="0.3">
      <c r="G40" s="36">
        <f>VLOOKUP(P9,B31:I36,2)</f>
        <v>90</v>
      </c>
      <c r="H40" s="37">
        <f>VLOOKUP(P9,B31:I36,7)</f>
        <v>0.75</v>
      </c>
      <c r="I40" s="30">
        <f>VLOOKUP(P9,B31:I36,8)</f>
        <v>0.7</v>
      </c>
      <c r="J40" s="22">
        <f>TREND(H40:I40,H$38:I$38,Q$9)</f>
        <v>0.75</v>
      </c>
    </row>
    <row r="42" spans="2:10" ht="15.75" thickBot="1" x14ac:dyDescent="0.3">
      <c r="D42" s="123" t="s">
        <v>33</v>
      </c>
      <c r="E42" s="123"/>
      <c r="F42" s="123"/>
      <c r="I42" s="26"/>
    </row>
    <row r="43" spans="2:10" x14ac:dyDescent="0.25">
      <c r="C43" s="14" t="s">
        <v>34</v>
      </c>
      <c r="D43" s="11">
        <v>0</v>
      </c>
      <c r="E43" s="11">
        <v>45</v>
      </c>
      <c r="F43" s="12">
        <v>90</v>
      </c>
      <c r="H43" s="26">
        <f t="shared" ref="H43:H49" si="6">IF($Q$10&gt;45,$E43,$D43)</f>
        <v>0</v>
      </c>
      <c r="I43" s="26">
        <f t="shared" ref="I43:I49" si="7">IF($Q$10&gt;45,$F43,$E43)</f>
        <v>45</v>
      </c>
    </row>
    <row r="44" spans="2:10" x14ac:dyDescent="0.25">
      <c r="C44" s="13">
        <v>0</v>
      </c>
      <c r="D44" s="27">
        <v>0.84</v>
      </c>
      <c r="E44" s="27">
        <v>0.84</v>
      </c>
      <c r="F44" s="28">
        <v>0.84</v>
      </c>
      <c r="H44" s="22">
        <f t="shared" si="6"/>
        <v>0.84</v>
      </c>
      <c r="I44" s="22">
        <f t="shared" si="7"/>
        <v>0.84</v>
      </c>
    </row>
    <row r="45" spans="2:10" x14ac:dyDescent="0.25">
      <c r="B45" s="9">
        <v>0</v>
      </c>
      <c r="C45" s="13">
        <v>15</v>
      </c>
      <c r="D45" s="27">
        <v>0.94</v>
      </c>
      <c r="E45" s="27">
        <v>0.91</v>
      </c>
      <c r="F45" s="28">
        <v>0.83</v>
      </c>
      <c r="H45" s="22">
        <f t="shared" si="6"/>
        <v>0.94</v>
      </c>
      <c r="I45" s="22">
        <f t="shared" si="7"/>
        <v>0.91</v>
      </c>
    </row>
    <row r="46" spans="2:10" x14ac:dyDescent="0.25">
      <c r="B46" s="9">
        <v>15</v>
      </c>
      <c r="C46" s="13">
        <v>30</v>
      </c>
      <c r="D46" s="27">
        <v>0.99</v>
      </c>
      <c r="E46" s="27">
        <v>0.94</v>
      </c>
      <c r="F46" s="28">
        <v>0.8</v>
      </c>
      <c r="H46" s="22">
        <f t="shared" si="6"/>
        <v>0.99</v>
      </c>
      <c r="I46" s="22">
        <f t="shared" si="7"/>
        <v>0.94</v>
      </c>
    </row>
    <row r="47" spans="2:10" x14ac:dyDescent="0.25">
      <c r="B47" s="9">
        <v>30</v>
      </c>
      <c r="C47" s="13">
        <v>45</v>
      </c>
      <c r="D47" s="27">
        <v>1</v>
      </c>
      <c r="E47" s="27">
        <v>0.94</v>
      </c>
      <c r="F47" s="28">
        <v>0.77</v>
      </c>
      <c r="H47" s="22">
        <f t="shared" si="6"/>
        <v>1</v>
      </c>
      <c r="I47" s="22">
        <f t="shared" si="7"/>
        <v>0.94</v>
      </c>
    </row>
    <row r="48" spans="2:10" x14ac:dyDescent="0.25">
      <c r="B48" s="9">
        <v>45</v>
      </c>
      <c r="C48" s="13">
        <v>60</v>
      </c>
      <c r="D48" s="27">
        <v>0.96</v>
      </c>
      <c r="E48" s="27">
        <v>0.89</v>
      </c>
      <c r="F48" s="28">
        <v>0.71</v>
      </c>
      <c r="H48" s="22">
        <f t="shared" si="6"/>
        <v>0.96</v>
      </c>
      <c r="I48" s="22">
        <f t="shared" si="7"/>
        <v>0.89</v>
      </c>
    </row>
    <row r="49" spans="2:10" ht="15.75" thickBot="1" x14ac:dyDescent="0.3">
      <c r="B49" s="9">
        <v>60</v>
      </c>
      <c r="C49" s="17">
        <v>90</v>
      </c>
      <c r="D49" s="29">
        <v>0.75</v>
      </c>
      <c r="E49" s="29">
        <v>0.7</v>
      </c>
      <c r="F49" s="30">
        <v>0.56000000000000005</v>
      </c>
      <c r="H49" s="22">
        <f t="shared" si="6"/>
        <v>0.75</v>
      </c>
      <c r="I49" s="22">
        <f t="shared" si="7"/>
        <v>0.7</v>
      </c>
    </row>
    <row r="50" spans="2:10" ht="15.75" thickBot="1" x14ac:dyDescent="0.3"/>
    <row r="51" spans="2:10" ht="15.75" thickBot="1" x14ac:dyDescent="0.3">
      <c r="H51" s="31">
        <f>H43</f>
        <v>0</v>
      </c>
      <c r="I51" s="32">
        <f>I43</f>
        <v>45</v>
      </c>
    </row>
    <row r="52" spans="2:10" x14ac:dyDescent="0.25">
      <c r="G52" s="33">
        <f>VLOOKUP(P10,B44:H49,1)</f>
        <v>30</v>
      </c>
      <c r="H52" s="34">
        <f>VLOOKUP(P10,C44:I49,6)</f>
        <v>0.99</v>
      </c>
      <c r="I52" s="35">
        <f>VLOOKUP(P10,C44:I49,7)</f>
        <v>0.94</v>
      </c>
      <c r="J52" s="22">
        <f>TREND(H52:I52,H$51:I$51,Q$10)</f>
        <v>0.97888888888888892</v>
      </c>
    </row>
    <row r="53" spans="2:10" ht="15.75" thickBot="1" x14ac:dyDescent="0.3">
      <c r="G53" s="36">
        <f>VLOOKUP(P10,B44:I49,2)</f>
        <v>45</v>
      </c>
      <c r="H53" s="37">
        <f>VLOOKUP(P10,B44:I49,7)</f>
        <v>1</v>
      </c>
      <c r="I53" s="30">
        <f>VLOOKUP(P10,B44:I49,8)</f>
        <v>0.94</v>
      </c>
      <c r="J53" s="22">
        <f>TREND(H53:I53,H$51:I$51,Q$10)</f>
        <v>0.98666666666666669</v>
      </c>
    </row>
    <row r="55" spans="2:10" ht="15.75" thickBot="1" x14ac:dyDescent="0.3">
      <c r="D55" s="123" t="s">
        <v>33</v>
      </c>
      <c r="E55" s="123"/>
      <c r="F55" s="123"/>
      <c r="I55" s="26"/>
    </row>
    <row r="56" spans="2:10" x14ac:dyDescent="0.25">
      <c r="C56" s="14" t="s">
        <v>34</v>
      </c>
      <c r="D56" s="11">
        <v>0</v>
      </c>
      <c r="E56" s="11">
        <v>45</v>
      </c>
      <c r="F56" s="12">
        <v>90</v>
      </c>
      <c r="H56" s="26">
        <f t="shared" ref="H56:H62" si="8">IF($Q$11&gt;45,$E56,$D56)</f>
        <v>0</v>
      </c>
      <c r="I56" s="26">
        <f t="shared" ref="I56:I62" si="9">IF($Q$11&gt;45,$F56,$E56)</f>
        <v>45</v>
      </c>
    </row>
    <row r="57" spans="2:10" x14ac:dyDescent="0.25">
      <c r="C57" s="13">
        <v>0</v>
      </c>
      <c r="D57" s="27">
        <v>0.84</v>
      </c>
      <c r="E57" s="27">
        <v>0.84</v>
      </c>
      <c r="F57" s="28">
        <v>0.84</v>
      </c>
      <c r="H57" s="22">
        <f t="shared" si="8"/>
        <v>0.84</v>
      </c>
      <c r="I57" s="22">
        <f t="shared" si="9"/>
        <v>0.84</v>
      </c>
    </row>
    <row r="58" spans="2:10" x14ac:dyDescent="0.25">
      <c r="B58" s="9">
        <v>0</v>
      </c>
      <c r="C58" s="13">
        <v>15</v>
      </c>
      <c r="D58" s="27">
        <v>0.94</v>
      </c>
      <c r="E58" s="27">
        <v>0.91</v>
      </c>
      <c r="F58" s="28">
        <v>0.83</v>
      </c>
      <c r="H58" s="22">
        <f t="shared" si="8"/>
        <v>0.94</v>
      </c>
      <c r="I58" s="22">
        <f t="shared" si="9"/>
        <v>0.91</v>
      </c>
    </row>
    <row r="59" spans="2:10" x14ac:dyDescent="0.25">
      <c r="B59" s="9">
        <v>15</v>
      </c>
      <c r="C59" s="13">
        <v>30</v>
      </c>
      <c r="D59" s="27">
        <v>0.99</v>
      </c>
      <c r="E59" s="27">
        <v>0.94</v>
      </c>
      <c r="F59" s="28">
        <v>0.8</v>
      </c>
      <c r="H59" s="22">
        <f t="shared" si="8"/>
        <v>0.99</v>
      </c>
      <c r="I59" s="22">
        <f t="shared" si="9"/>
        <v>0.94</v>
      </c>
    </row>
    <row r="60" spans="2:10" x14ac:dyDescent="0.25">
      <c r="B60" s="9">
        <v>30</v>
      </c>
      <c r="C60" s="13">
        <v>45</v>
      </c>
      <c r="D60" s="27">
        <v>1</v>
      </c>
      <c r="E60" s="27">
        <v>0.94</v>
      </c>
      <c r="F60" s="28">
        <v>0.77</v>
      </c>
      <c r="H60" s="22">
        <f t="shared" si="8"/>
        <v>1</v>
      </c>
      <c r="I60" s="22">
        <f t="shared" si="9"/>
        <v>0.94</v>
      </c>
    </row>
    <row r="61" spans="2:10" x14ac:dyDescent="0.25">
      <c r="B61" s="9">
        <v>45</v>
      </c>
      <c r="C61" s="13">
        <v>60</v>
      </c>
      <c r="D61" s="27">
        <v>0.96</v>
      </c>
      <c r="E61" s="27">
        <v>0.89</v>
      </c>
      <c r="F61" s="28">
        <v>0.71</v>
      </c>
      <c r="H61" s="22">
        <f t="shared" si="8"/>
        <v>0.96</v>
      </c>
      <c r="I61" s="22">
        <f t="shared" si="9"/>
        <v>0.89</v>
      </c>
    </row>
    <row r="62" spans="2:10" ht="15.75" thickBot="1" x14ac:dyDescent="0.3">
      <c r="B62" s="9">
        <v>60</v>
      </c>
      <c r="C62" s="17">
        <v>90</v>
      </c>
      <c r="D62" s="29">
        <v>0.75</v>
      </c>
      <c r="E62" s="29">
        <v>0.7</v>
      </c>
      <c r="F62" s="30">
        <v>0.56000000000000005</v>
      </c>
      <c r="H62" s="22">
        <f t="shared" si="8"/>
        <v>0.75</v>
      </c>
      <c r="I62" s="22">
        <f t="shared" si="9"/>
        <v>0.7</v>
      </c>
    </row>
    <row r="63" spans="2:10" ht="15.75" thickBot="1" x14ac:dyDescent="0.3"/>
    <row r="64" spans="2:10" ht="15.75" thickBot="1" x14ac:dyDescent="0.3">
      <c r="H64" s="31">
        <f>H56</f>
        <v>0</v>
      </c>
      <c r="I64" s="32">
        <f>I56</f>
        <v>45</v>
      </c>
    </row>
    <row r="65" spans="7:10" x14ac:dyDescent="0.25">
      <c r="G65" s="33">
        <f>VLOOKUP(P11,B57:H62,1)</f>
        <v>0</v>
      </c>
      <c r="H65" s="34">
        <f>VLOOKUP(P11,C57:I62,6)</f>
        <v>0.84</v>
      </c>
      <c r="I65" s="35">
        <f>VLOOKUP(P11,C57:I62,7)</f>
        <v>0.84</v>
      </c>
      <c r="J65" s="22">
        <f>TREND(H65:I65,H$64:I$64,Q$11)</f>
        <v>0.84</v>
      </c>
    </row>
    <row r="66" spans="7:10" ht="15.75" thickBot="1" x14ac:dyDescent="0.3">
      <c r="G66" s="36">
        <f>VLOOKUP(P11,B57:I62,2)</f>
        <v>15</v>
      </c>
      <c r="H66" s="37">
        <f>VLOOKUP(P11,B57:I62,7)</f>
        <v>0.94</v>
      </c>
      <c r="I66" s="30">
        <f>VLOOKUP(P11,B57:I62,8)</f>
        <v>0.91</v>
      </c>
      <c r="J66" s="22">
        <f>TREND(H66:I66,H$64:I$64,Q$11)</f>
        <v>0.94</v>
      </c>
    </row>
  </sheetData>
  <sheetProtection password="C713" sheet="1" objects="1" scenarios="1"/>
  <mergeCells count="5">
    <mergeCell ref="D3:F3"/>
    <mergeCell ref="D16:F16"/>
    <mergeCell ref="D29:F29"/>
    <mergeCell ref="D42:F42"/>
    <mergeCell ref="D55:F55"/>
  </mergeCells>
  <conditionalFormatting sqref="D5:F10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:F2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:F3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:F36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4:F4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4:F4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7:F6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7:F6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6"/>
  <sheetViews>
    <sheetView workbookViewId="0">
      <selection activeCell="G7" sqref="G7"/>
    </sheetView>
  </sheetViews>
  <sheetFormatPr defaultRowHeight="15" x14ac:dyDescent="0.25"/>
  <cols>
    <col min="1" max="2" width="9.140625" style="9"/>
    <col min="3" max="6" width="11" style="9" customWidth="1"/>
    <col min="7" max="16384" width="9.140625" style="9"/>
  </cols>
  <sheetData>
    <row r="3" spans="2:9" x14ac:dyDescent="0.25">
      <c r="G3" s="9" t="s">
        <v>64</v>
      </c>
      <c r="H3" s="9" t="s">
        <v>65</v>
      </c>
      <c r="I3" s="9" t="s">
        <v>63</v>
      </c>
    </row>
    <row r="4" spans="2:9" x14ac:dyDescent="0.25">
      <c r="D4" s="38" t="s">
        <v>64</v>
      </c>
      <c r="E4" s="38" t="s">
        <v>65</v>
      </c>
      <c r="F4" s="38" t="s">
        <v>63</v>
      </c>
      <c r="G4" s="9">
        <v>0</v>
      </c>
      <c r="H4" s="9">
        <v>0</v>
      </c>
      <c r="I4" s="9">
        <v>0</v>
      </c>
    </row>
    <row r="5" spans="2:9" x14ac:dyDescent="0.25">
      <c r="D5" s="9">
        <v>0</v>
      </c>
      <c r="E5" s="9">
        <v>0</v>
      </c>
      <c r="F5" s="9">
        <v>0</v>
      </c>
      <c r="G5" s="23">
        <f ca="1">D6</f>
        <v>20</v>
      </c>
      <c r="H5" s="23">
        <f ca="1">E6</f>
        <v>5.85</v>
      </c>
      <c r="I5" s="9">
        <f ca="1">F6</f>
        <v>50</v>
      </c>
    </row>
    <row r="6" spans="2:9" x14ac:dyDescent="0.25">
      <c r="B6" s="9">
        <f ca="1">IF('Indata och utdata'!$E$18=0,'Indata och utdata'!A$18,IF('Indata och utdata'!$E$19=0,'Indata och utdata'!A$19,IF('Indata och utdata'!$E$20=0,'Indata och utdata'!A$20,IF('Indata och utdata'!$E$21=0,'Indata och utdata'!A$21,IF('Indata och utdata'!$E$22=0,'Indata och utdata'!A$22,)))))</f>
        <v>5</v>
      </c>
      <c r="D6" s="23">
        <f ca="1">IF('Indata och utdata'!$E$18=0,'Indata och utdata'!G$18,IF('Indata och utdata'!$E$19=0,'Indata och utdata'!G$19,IF('Indata och utdata'!$E$20=0,'Indata och utdata'!G$20,IF('Indata och utdata'!$E$21=0,'Indata och utdata'!G$21,IF('Indata och utdata'!$E$22=0,'Indata och utdata'!G$22,)))))</f>
        <v>20</v>
      </c>
      <c r="E6" s="23">
        <f ca="1">IF('Indata och utdata'!$E$18=0,'Indata och utdata'!H$18,IF('Indata och utdata'!$E$19=0,'Indata och utdata'!H$19,IF('Indata och utdata'!$E$20=0,'Indata och utdata'!H$20,IF('Indata och utdata'!$E$21=0,'Indata och utdata'!H$21,IF('Indata och utdata'!$E$22=0,'Indata och utdata'!H$22,)))))</f>
        <v>5.85</v>
      </c>
      <c r="F6" s="9">
        <f ca="1">IF('Indata och utdata'!$E$18=0,'Indata och utdata'!F$18,IF('Indata och utdata'!$E$19=0,'Indata och utdata'!F$19,IF('Indata och utdata'!$E$20=0,'Indata och utdata'!F$20,IF('Indata och utdata'!$E$21=0,'Indata och utdata'!F$21,IF('Indata och utdata'!$E$22=0,'Indata och utdata'!F$22,)))))</f>
        <v>50</v>
      </c>
      <c r="G6" s="23">
        <f t="shared" ref="G6:G10" ca="1" si="0">D7</f>
        <v>35.662222222222226</v>
      </c>
      <c r="H6" s="23">
        <f t="shared" ref="H6:I9" ca="1" si="1">E7</f>
        <v>10.4312</v>
      </c>
      <c r="I6" s="9">
        <f t="shared" ca="1" si="1"/>
        <v>90</v>
      </c>
    </row>
    <row r="7" spans="2:9" x14ac:dyDescent="0.25">
      <c r="B7" s="9">
        <f ca="1">IF('Indata och utdata'!$E$18=1,'Indata och utdata'!A$18,IF('Indata och utdata'!$E$19=1,'Indata och utdata'!A$19,IF('Indata och utdata'!$E$20=1,'Indata och utdata'!A$20,IF('Indata och utdata'!$E$21=1,'Indata och utdata'!A$21,IF('Indata och utdata'!$E$22=1,'Indata och utdata'!A$22,)))))</f>
        <v>4</v>
      </c>
      <c r="D7" s="23">
        <f ca="1">IF('Indata och utdata'!$E$18=1,'Indata och utdata'!G$18,IF('Indata och utdata'!$E$19=1,'Indata och utdata'!G$19,IF('Indata och utdata'!$E$20=1,'Indata och utdata'!G$20,IF('Indata och utdata'!$E$21=1,'Indata och utdata'!G$21,IF('Indata och utdata'!$E$22=1,'Indata och utdata'!G$22,)))))+D6</f>
        <v>35.662222222222226</v>
      </c>
      <c r="E7" s="23">
        <f ca="1">IF('Indata och utdata'!$E$18=1,'Indata och utdata'!H$18,IF('Indata och utdata'!$E$19=1,'Indata och utdata'!H$19,IF('Indata och utdata'!$E$20=1,'Indata och utdata'!H$20,IF('Indata och utdata'!$E$21=1,'Indata och utdata'!H$21,IF('Indata och utdata'!$E$22=1,'Indata och utdata'!H$22,)))))+E6</f>
        <v>10.4312</v>
      </c>
      <c r="F7" s="9">
        <f ca="1">IF('Indata och utdata'!$E$18=1,'Indata och utdata'!F$18,IF('Indata och utdata'!$E$19=1,'Indata och utdata'!F$19,IF('Indata och utdata'!$E$20=1,'Indata och utdata'!F$20,IF('Indata och utdata'!$E$21=1,'Indata och utdata'!F$21,IF('Indata och utdata'!$E$22=1,'Indata och utdata'!F$22,)))))+F6</f>
        <v>90</v>
      </c>
      <c r="G7" s="23">
        <f t="shared" ca="1" si="0"/>
        <v>223.66222222222223</v>
      </c>
      <c r="H7" s="23">
        <f t="shared" ca="1" si="1"/>
        <v>65.421199999999999</v>
      </c>
      <c r="I7" s="9">
        <f t="shared" ca="1" si="1"/>
        <v>590</v>
      </c>
    </row>
    <row r="8" spans="2:9" x14ac:dyDescent="0.25">
      <c r="B8" s="9">
        <f ca="1">IF('Indata och utdata'!$E$18=2,'Indata och utdata'!A$18,IF('Indata och utdata'!$E$19=2,'Indata och utdata'!A$19,IF('Indata och utdata'!$E$20=2,'Indata och utdata'!A$20,IF('Indata och utdata'!$E$21=2,'Indata och utdata'!A$21,IF('Indata och utdata'!$E$22=2,'Indata och utdata'!A$22,)))))</f>
        <v>2</v>
      </c>
      <c r="D8" s="23">
        <f ca="1">IF('Indata och utdata'!$E$18=2,'Indata och utdata'!G$18,IF('Indata och utdata'!$E$19=2,'Indata och utdata'!G$19,IF('Indata och utdata'!$E$20=2,'Indata och utdata'!G$20,IF('Indata och utdata'!$E$21=2,'Indata och utdata'!G$21,IF('Indata och utdata'!$E$22=2,'Indata och utdata'!G$22,)))))+D7</f>
        <v>223.66222222222223</v>
      </c>
      <c r="E8" s="23">
        <f ca="1">IF('Indata och utdata'!$E$18=2,'Indata och utdata'!H$18,IF('Indata och utdata'!$E$19=2,'Indata och utdata'!H$19,IF('Indata och utdata'!$E$20=2,'Indata och utdata'!H$20,IF('Indata och utdata'!$E$21=2,'Indata och utdata'!H$21,IF('Indata och utdata'!$E$22=2,'Indata och utdata'!H$22,)))))+E7</f>
        <v>65.421199999999999</v>
      </c>
      <c r="F8" s="9">
        <f ca="1">IF('Indata och utdata'!$E$18=2,'Indata och utdata'!F$18,IF('Indata och utdata'!$E$19=2,'Indata och utdata'!F$19,IF('Indata och utdata'!$E$20=2,'Indata och utdata'!F$20,IF('Indata och utdata'!$E$21=2,'Indata och utdata'!F$21,IF('Indata och utdata'!$E$22=2,'Indata och utdata'!F$22,)))))+F7</f>
        <v>590</v>
      </c>
      <c r="G8" s="23">
        <f t="shared" ca="1" si="0"/>
        <v>377.66222222222223</v>
      </c>
      <c r="H8" s="23">
        <f t="shared" ca="1" si="1"/>
        <v>110.4662</v>
      </c>
      <c r="I8" s="9">
        <f t="shared" ca="1" si="1"/>
        <v>1090</v>
      </c>
    </row>
    <row r="9" spans="2:9" x14ac:dyDescent="0.25">
      <c r="B9" s="9">
        <f ca="1">IF('Indata och utdata'!$E$18=3,'Indata och utdata'!A$18,IF('Indata och utdata'!$E$19=3,'Indata och utdata'!A$19,IF('Indata och utdata'!$E$20=3,'Indata och utdata'!A$20,IF('Indata och utdata'!$E$21=3,'Indata och utdata'!A$21,IF('Indata och utdata'!$E$22=3,'Indata och utdata'!A$22,)))))</f>
        <v>1</v>
      </c>
      <c r="D9" s="23">
        <f ca="1">IF('Indata och utdata'!$E$18=3,'Indata och utdata'!G$18,IF('Indata och utdata'!$E$19=3,'Indata och utdata'!G$19,IF('Indata och utdata'!$E$20=3,'Indata och utdata'!G$20,IF('Indata och utdata'!$E$21=3,'Indata och utdata'!G$21,IF('Indata och utdata'!$E$22=3,'Indata och utdata'!G$22,)))))+D8</f>
        <v>377.66222222222223</v>
      </c>
      <c r="E9" s="23">
        <f ca="1">IF('Indata och utdata'!$E$18=3,'Indata och utdata'!H$18,IF('Indata och utdata'!$E$19=3,'Indata och utdata'!H$19,IF('Indata och utdata'!$E$20=3,'Indata och utdata'!H$20,IF('Indata och utdata'!$E$21=3,'Indata och utdata'!H$21,IF('Indata och utdata'!$E$22=3,'Indata och utdata'!H$22,)))))+E8</f>
        <v>110.4662</v>
      </c>
      <c r="F9" s="9">
        <f ca="1">IF('Indata och utdata'!$E$18=3,'Indata och utdata'!F$18,IF('Indata och utdata'!$E$19=3,'Indata och utdata'!F$19,IF('Indata och utdata'!$E$20=3,'Indata och utdata'!F$20,IF('Indata och utdata'!$E$21=3,'Indata och utdata'!F$21,IF('Indata och utdata'!$E$22=3,'Indata och utdata'!F$22,)))))+F8</f>
        <v>1090</v>
      </c>
      <c r="G9" s="23">
        <f t="shared" ca="1" si="0"/>
        <v>391.16222222222223</v>
      </c>
      <c r="H9" s="23">
        <f t="shared" ca="1" si="1"/>
        <v>114.41495</v>
      </c>
      <c r="I9" s="9">
        <f t="shared" ca="1" si="1"/>
        <v>1135</v>
      </c>
    </row>
    <row r="10" spans="2:9" x14ac:dyDescent="0.25">
      <c r="B10" s="9">
        <f ca="1">IF('Indata och utdata'!$E$18=4,'Indata och utdata'!A$18,IF('Indata och utdata'!$E$19=4,'Indata och utdata'!A$19,IF('Indata och utdata'!$E$20=4,'Indata och utdata'!A$20,IF('Indata och utdata'!$E$21=4,'Indata och utdata'!A$21,IF('Indata och utdata'!$E$22=4,'Indata och utdata'!A$22,)))))</f>
        <v>3</v>
      </c>
      <c r="D10" s="23">
        <f ca="1">IF('Indata och utdata'!$E$18=4,'Indata och utdata'!G$18,IF('Indata och utdata'!$E$19=4,'Indata och utdata'!G$19,IF('Indata och utdata'!$E$20=4,'Indata och utdata'!G$20,IF('Indata och utdata'!$E$21=4,'Indata och utdata'!G$21,IF('Indata och utdata'!$E$22=4,'Indata och utdata'!G$22,)))))+D9</f>
        <v>391.16222222222223</v>
      </c>
      <c r="E10" s="23">
        <f ca="1">IF('Indata och utdata'!$E$18=4,'Indata och utdata'!H$18,IF('Indata och utdata'!$E$19=4,'Indata och utdata'!H$19,IF('Indata och utdata'!$E$20=4,'Indata och utdata'!H$20,IF('Indata och utdata'!$E$21=4,'Indata och utdata'!H$21,IF('Indata och utdata'!$E$22=4,'Indata och utdata'!H$22,)))))+E9</f>
        <v>114.41495</v>
      </c>
      <c r="F10" s="9">
        <f ca="1">IF('Indata och utdata'!$E$18=4,'Indata och utdata'!F$18,IF('Indata och utdata'!$E$19=4,'Indata och utdata'!F$19,IF('Indata och utdata'!$E$20=4,'Indata och utdata'!F$20,IF('Indata och utdata'!$E$21=4,'Indata och utdata'!F$21,IF('Indata och utdata'!$E$22=4,'Indata och utdata'!F$22,)))))+F9</f>
        <v>1135</v>
      </c>
      <c r="G10" s="23">
        <f t="shared" si="0"/>
        <v>0</v>
      </c>
    </row>
    <row r="12" spans="2:9" ht="15" customHeight="1" x14ac:dyDescent="0.25"/>
    <row r="16" spans="2:9" ht="15" customHeight="1" x14ac:dyDescent="0.25"/>
    <row r="17" spans="1:5" x14ac:dyDescent="0.25">
      <c r="A17" s="124" t="s">
        <v>66</v>
      </c>
      <c r="B17" s="124"/>
      <c r="C17" s="124"/>
      <c r="D17" s="9">
        <f ca="1">VLOOKUP('Indata och utdata'!D28,E5:E10,1)</f>
        <v>110.4662</v>
      </c>
      <c r="E17" s="9">
        <f ca="1">VLOOKUP('Indata och utdata'!D28,E5:H10,2)</f>
        <v>1090</v>
      </c>
    </row>
    <row r="18" spans="1:5" x14ac:dyDescent="0.25">
      <c r="A18" s="124"/>
      <c r="B18" s="124"/>
      <c r="C18" s="124"/>
      <c r="D18" s="9">
        <f ca="1">VLOOKUP('Indata och utdata'!D28,E5:H10,4)</f>
        <v>114.41495</v>
      </c>
      <c r="E18" s="9">
        <f ca="1">VLOOKUP('Indata och utdata'!D28,E5:I10,5)</f>
        <v>1135</v>
      </c>
    </row>
    <row r="19" spans="1:5" x14ac:dyDescent="0.25">
      <c r="A19" s="39"/>
      <c r="B19" s="39"/>
      <c r="C19" s="39"/>
    </row>
    <row r="20" spans="1:5" x14ac:dyDescent="0.25">
      <c r="A20" s="39"/>
      <c r="B20" s="39"/>
      <c r="C20" s="39"/>
    </row>
    <row r="21" spans="1:5" x14ac:dyDescent="0.25">
      <c r="A21" s="124" t="s">
        <v>67</v>
      </c>
      <c r="B21" s="124"/>
      <c r="C21" s="124"/>
      <c r="D21" s="9">
        <f ca="1">VLOOKUP('Indata och utdata'!C28,D5:D10,1)</f>
        <v>391.16222222222223</v>
      </c>
      <c r="E21" s="9">
        <f ca="1">VLOOKUP('Indata och utdata'!C28,D5:G10,3)</f>
        <v>1135</v>
      </c>
    </row>
    <row r="22" spans="1:5" x14ac:dyDescent="0.25">
      <c r="A22" s="124"/>
      <c r="B22" s="124"/>
      <c r="C22" s="124"/>
      <c r="D22" s="9">
        <f ca="1">VLOOKUP('Indata och utdata'!C28,D5:G10,4)</f>
        <v>0</v>
      </c>
      <c r="E22" s="9">
        <f ca="1">VLOOKUP('Indata och utdata'!C28,D5:I10,6)</f>
        <v>0</v>
      </c>
    </row>
    <row r="26" spans="1:5" ht="30" customHeight="1" x14ac:dyDescent="0.25">
      <c r="A26" s="124"/>
      <c r="B26" s="124"/>
      <c r="C26" s="124"/>
    </row>
  </sheetData>
  <sheetProtection password="C713" sheet="1" objects="1" scenarios="1"/>
  <sortState ref="C7:F11">
    <sortCondition descending="1" ref="C6:C10"/>
  </sortState>
  <mergeCells count="3">
    <mergeCell ref="A17:C18"/>
    <mergeCell ref="A21:C22"/>
    <mergeCell ref="A26:C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7"/>
  <sheetViews>
    <sheetView workbookViewId="0">
      <selection activeCell="O20" sqref="O20"/>
    </sheetView>
  </sheetViews>
  <sheetFormatPr defaultRowHeight="15" x14ac:dyDescent="0.25"/>
  <cols>
    <col min="1" max="6" width="9.140625" style="67"/>
    <col min="7" max="7" width="11" style="67" bestFit="1" customWidth="1"/>
    <col min="8" max="16384" width="9.140625" style="67"/>
  </cols>
  <sheetData>
    <row r="8" spans="2:7" x14ac:dyDescent="0.25">
      <c r="B8" s="67" t="s">
        <v>115</v>
      </c>
    </row>
    <row r="11" spans="2:7" x14ac:dyDescent="0.25">
      <c r="B11" s="67" t="s">
        <v>106</v>
      </c>
      <c r="G11" s="121">
        <v>3000</v>
      </c>
    </row>
    <row r="12" spans="2:7" x14ac:dyDescent="0.25">
      <c r="B12" s="67" t="s">
        <v>107</v>
      </c>
      <c r="G12" s="121">
        <v>16</v>
      </c>
    </row>
    <row r="13" spans="2:7" ht="17.25" x14ac:dyDescent="0.25">
      <c r="B13" s="67" t="s">
        <v>108</v>
      </c>
      <c r="G13" s="121">
        <v>6000</v>
      </c>
    </row>
    <row r="15" spans="2:7" ht="17.25" x14ac:dyDescent="0.25">
      <c r="B15" s="67" t="s">
        <v>109</v>
      </c>
      <c r="G15" s="121">
        <v>130</v>
      </c>
    </row>
    <row r="16" spans="2:7" x14ac:dyDescent="0.25">
      <c r="B16" s="67" t="s">
        <v>110</v>
      </c>
      <c r="G16" s="121">
        <v>0.9</v>
      </c>
    </row>
    <row r="17" spans="2:7" ht="17.25" x14ac:dyDescent="0.25">
      <c r="B17" s="67" t="s">
        <v>111</v>
      </c>
      <c r="G17" s="121">
        <v>400</v>
      </c>
    </row>
  </sheetData>
  <sheetProtection password="CAFF" sheet="1" objects="1" scenarios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6:W39"/>
  <sheetViews>
    <sheetView workbookViewId="0">
      <selection activeCell="F50" sqref="F50"/>
    </sheetView>
  </sheetViews>
  <sheetFormatPr defaultRowHeight="15" x14ac:dyDescent="0.25"/>
  <cols>
    <col min="1" max="19" width="9.140625" style="67"/>
    <col min="20" max="20" width="19.85546875" style="67" customWidth="1"/>
    <col min="21" max="16384" width="9.140625" style="67"/>
  </cols>
  <sheetData>
    <row r="16" spans="5:10" x14ac:dyDescent="0.25">
      <c r="E16" s="69"/>
      <c r="F16" s="59"/>
      <c r="G16" s="59"/>
      <c r="H16" s="59"/>
      <c r="I16" s="59"/>
      <c r="J16" s="59"/>
    </row>
    <row r="17" spans="5:10" x14ac:dyDescent="0.25">
      <c r="E17" s="69"/>
      <c r="F17" s="59"/>
      <c r="G17" s="59"/>
      <c r="H17" s="59"/>
      <c r="I17" s="59"/>
      <c r="J17" s="59"/>
    </row>
    <row r="18" spans="5:10" x14ac:dyDescent="0.25">
      <c r="E18" s="69"/>
      <c r="F18" s="59"/>
      <c r="G18" s="59"/>
      <c r="H18" s="59"/>
      <c r="I18" s="59"/>
      <c r="J18" s="59"/>
    </row>
    <row r="19" spans="5:10" x14ac:dyDescent="0.25">
      <c r="E19" s="69"/>
      <c r="F19" s="59"/>
      <c r="G19" s="59"/>
      <c r="H19" s="59"/>
      <c r="I19" s="59"/>
      <c r="J19" s="59"/>
    </row>
    <row r="20" spans="5:10" x14ac:dyDescent="0.25">
      <c r="E20" s="69"/>
      <c r="F20" s="59"/>
      <c r="G20" s="59"/>
      <c r="H20" s="59"/>
      <c r="I20" s="59"/>
      <c r="J20" s="59"/>
    </row>
    <row r="21" spans="5:10" x14ac:dyDescent="0.25">
      <c r="E21" s="69"/>
      <c r="F21" s="59"/>
      <c r="G21" s="59"/>
      <c r="H21" s="59"/>
      <c r="I21" s="59"/>
      <c r="J21" s="59"/>
    </row>
    <row r="22" spans="5:10" x14ac:dyDescent="0.25">
      <c r="E22" s="69"/>
      <c r="F22" s="59"/>
      <c r="G22" s="59"/>
      <c r="H22" s="59"/>
      <c r="I22" s="59"/>
      <c r="J22" s="59"/>
    </row>
    <row r="23" spans="5:10" x14ac:dyDescent="0.25">
      <c r="E23" s="69"/>
      <c r="F23" s="59"/>
      <c r="G23" s="59"/>
      <c r="H23" s="59"/>
      <c r="I23" s="59"/>
      <c r="J23" s="59"/>
    </row>
    <row r="24" spans="5:10" x14ac:dyDescent="0.25">
      <c r="E24" s="69"/>
      <c r="F24" s="59"/>
      <c r="G24" s="59"/>
      <c r="H24" s="59"/>
      <c r="I24" s="59"/>
      <c r="J24" s="59"/>
    </row>
    <row r="25" spans="5:10" x14ac:dyDescent="0.25">
      <c r="E25" s="69"/>
      <c r="F25" s="59"/>
      <c r="G25" s="59"/>
      <c r="H25" s="59"/>
      <c r="I25" s="59"/>
      <c r="J25" s="59"/>
    </row>
    <row r="26" spans="5:10" x14ac:dyDescent="0.25">
      <c r="E26" s="69"/>
      <c r="F26" s="59"/>
      <c r="G26" s="59"/>
      <c r="H26" s="59"/>
      <c r="I26" s="59"/>
      <c r="J26" s="59"/>
    </row>
    <row r="27" spans="5:10" x14ac:dyDescent="0.25">
      <c r="E27" s="69"/>
      <c r="F27" s="59"/>
      <c r="G27" s="59"/>
      <c r="H27" s="59"/>
      <c r="I27" s="59"/>
      <c r="J27" s="59"/>
    </row>
    <row r="28" spans="5:10" x14ac:dyDescent="0.25">
      <c r="E28" s="69"/>
      <c r="F28" s="59"/>
      <c r="G28" s="59"/>
      <c r="H28" s="59"/>
      <c r="I28" s="59"/>
      <c r="J28" s="59"/>
    </row>
    <row r="29" spans="5:10" x14ac:dyDescent="0.25">
      <c r="E29" s="70"/>
      <c r="F29" s="71"/>
      <c r="G29" s="71"/>
      <c r="H29" s="62"/>
      <c r="I29" s="62"/>
      <c r="J29" s="62"/>
    </row>
    <row r="36" spans="21:23" x14ac:dyDescent="0.25">
      <c r="W36" s="68"/>
    </row>
    <row r="37" spans="21:23" x14ac:dyDescent="0.25">
      <c r="U37" s="68"/>
    </row>
    <row r="39" spans="21:23" x14ac:dyDescent="0.25">
      <c r="V39" s="68"/>
    </row>
  </sheetData>
  <sheetProtection password="C713" sheet="1" objects="1" scenario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Indata och utdata</vt:lpstr>
      <vt:lpstr>Säsongsvariationer</vt:lpstr>
      <vt:lpstr>Ekonomi</vt:lpstr>
      <vt:lpstr>Komponentparametrar</vt:lpstr>
      <vt:lpstr>Vinklar</vt:lpstr>
      <vt:lpstr>Ytprioritering</vt:lpstr>
      <vt:lpstr>Inställningar</vt:lpstr>
      <vt:lpstr>Förklaringar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peterf</dc:creator>
  <cp:lastModifiedBy>Sofia Asp Lidberg</cp:lastModifiedBy>
  <cp:lastPrinted>2014-04-01T09:09:25Z</cp:lastPrinted>
  <dcterms:created xsi:type="dcterms:W3CDTF">2013-04-17T12:46:26Z</dcterms:created>
  <dcterms:modified xsi:type="dcterms:W3CDTF">2017-05-24T10:50:39Z</dcterms:modified>
</cp:coreProperties>
</file>